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LOG\LICITAÇÕES 2022\Vigilância Armada\Edital Publicado\"/>
    </mc:Choice>
  </mc:AlternateContent>
  <xr:revisionPtr revIDLastSave="0" documentId="13_ncr:1_{FC5C4DD6-9870-46AB-9249-79BFED225C51}" xr6:coauthVersionLast="45" xr6:coauthVersionMax="45" xr10:uidLastSave="{00000000-0000-0000-0000-000000000000}"/>
  <bookViews>
    <workbookView xWindow="-90" yWindow="-90" windowWidth="28980" windowHeight="15780" tabRatio="603" xr2:uid="{00000000-000D-0000-FFFF-FFFF00000000}"/>
  </bookViews>
  <sheets>
    <sheet name="PROPOSTA" sheetId="91" r:id="rId1"/>
    <sheet name="VIGILANTE" sheetId="89" r:id="rId2"/>
    <sheet name="UNIFORME E EQUIPAMENTOS" sheetId="92" r:id="rId3"/>
  </sheets>
  <definedNames>
    <definedName name="_xlnm.Print_Area" localSheetId="1">VIGILANTE!$B$2:$H$135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1" i="89" l="1"/>
  <c r="F74" i="89"/>
  <c r="E50" i="89"/>
  <c r="E49" i="89"/>
  <c r="E38" i="89"/>
  <c r="G39" i="89"/>
  <c r="F44" i="89"/>
  <c r="H43" i="89"/>
  <c r="E37" i="89"/>
  <c r="H32" i="89"/>
  <c r="G32" i="89"/>
  <c r="F32" i="89"/>
  <c r="E32" i="89"/>
  <c r="H31" i="89"/>
  <c r="G31" i="89"/>
  <c r="F31" i="89"/>
  <c r="E31" i="89"/>
  <c r="H23" i="89"/>
  <c r="G23" i="89"/>
  <c r="F23" i="89"/>
  <c r="E23" i="89"/>
  <c r="F120" i="89" l="1"/>
  <c r="G120" i="89"/>
  <c r="H120" i="89"/>
  <c r="F16" i="92"/>
  <c r="F17" i="92"/>
  <c r="F18" i="92"/>
  <c r="F19" i="92"/>
  <c r="F20" i="92"/>
  <c r="F21" i="92"/>
  <c r="F22" i="92"/>
  <c r="F23" i="92"/>
  <c r="F24" i="92"/>
  <c r="F15" i="92"/>
  <c r="F5" i="92"/>
  <c r="F6" i="92"/>
  <c r="F7" i="92"/>
  <c r="F8" i="92"/>
  <c r="F9" i="92"/>
  <c r="F4" i="92"/>
  <c r="F90" i="89"/>
  <c r="F96" i="89" s="1"/>
  <c r="G90" i="89"/>
  <c r="G96" i="89" s="1"/>
  <c r="H90" i="89"/>
  <c r="H96" i="89" s="1"/>
  <c r="D83" i="89"/>
  <c r="N81" i="89"/>
  <c r="D82" i="89"/>
  <c r="D71" i="89"/>
  <c r="D70" i="89"/>
  <c r="D68" i="89"/>
  <c r="H52" i="89"/>
  <c r="F52" i="89"/>
  <c r="G52" i="89"/>
  <c r="E52" i="89"/>
  <c r="F10" i="92" l="1"/>
  <c r="F25" i="92"/>
  <c r="E103" i="89" l="1"/>
  <c r="H103" i="89"/>
  <c r="G103" i="89"/>
  <c r="F103" i="89"/>
  <c r="E102" i="89"/>
  <c r="G102" i="89"/>
  <c r="F102" i="89"/>
  <c r="H102" i="89"/>
  <c r="H104" i="89" s="1"/>
  <c r="H124" i="89" s="1"/>
  <c r="F50" i="89"/>
  <c r="G50" i="89"/>
  <c r="H50" i="89"/>
  <c r="D45" i="89"/>
  <c r="F104" i="89" l="1"/>
  <c r="F124" i="89" s="1"/>
  <c r="G104" i="89"/>
  <c r="G124" i="89" s="1"/>
  <c r="H22" i="89"/>
  <c r="H49" i="89" s="1"/>
  <c r="G22" i="89"/>
  <c r="G49" i="89" s="1"/>
  <c r="F22" i="89"/>
  <c r="G5" i="91"/>
  <c r="G4" i="91"/>
  <c r="G3" i="91"/>
  <c r="G2" i="91"/>
  <c r="F53" i="89" l="1"/>
  <c r="F54" i="89"/>
  <c r="F26" i="89"/>
  <c r="G53" i="89"/>
  <c r="G54" i="89"/>
  <c r="G55" i="89"/>
  <c r="G62" i="89" s="1"/>
  <c r="G26" i="89"/>
  <c r="H53" i="89"/>
  <c r="H54" i="89"/>
  <c r="H26" i="89"/>
  <c r="D84" i="89"/>
  <c r="D73" i="89"/>
  <c r="F73" i="89" l="1"/>
  <c r="G73" i="89"/>
  <c r="H73" i="89"/>
  <c r="H70" i="89"/>
  <c r="H68" i="89"/>
  <c r="H71" i="89"/>
  <c r="G70" i="89"/>
  <c r="G68" i="89"/>
  <c r="G71" i="89"/>
  <c r="F70" i="89"/>
  <c r="F68" i="89"/>
  <c r="F71" i="89"/>
  <c r="H55" i="89"/>
  <c r="H62" i="89" s="1"/>
  <c r="E22" i="89"/>
  <c r="C126" i="89"/>
  <c r="C124" i="89"/>
  <c r="C123" i="89"/>
  <c r="C122" i="89"/>
  <c r="C121" i="89"/>
  <c r="C120" i="89"/>
  <c r="D115" i="89"/>
  <c r="E90" i="89"/>
  <c r="E96" i="89" s="1"/>
  <c r="D81" i="89"/>
  <c r="D80" i="89"/>
  <c r="D69" i="89"/>
  <c r="D72" i="89"/>
  <c r="D32" i="89"/>
  <c r="D31" i="89"/>
  <c r="G17" i="89"/>
  <c r="F49" i="89" l="1"/>
  <c r="F55" i="89" s="1"/>
  <c r="F62" i="89" s="1"/>
  <c r="F72" i="89"/>
  <c r="G72" i="89"/>
  <c r="H72" i="89"/>
  <c r="H69" i="89"/>
  <c r="F69" i="89"/>
  <c r="G69" i="89"/>
  <c r="G74" i="89" s="1"/>
  <c r="G122" i="89" s="1"/>
  <c r="D85" i="89"/>
  <c r="E53" i="89"/>
  <c r="E54" i="89"/>
  <c r="E26" i="89"/>
  <c r="D33" i="89"/>
  <c r="F122" i="89" l="1"/>
  <c r="H74" i="89"/>
  <c r="H122" i="89" s="1"/>
  <c r="E71" i="89"/>
  <c r="E70" i="89"/>
  <c r="E68" i="89"/>
  <c r="E73" i="89"/>
  <c r="E72" i="89"/>
  <c r="E69" i="89"/>
  <c r="H33" i="89"/>
  <c r="H60" i="89" s="1"/>
  <c r="E55" i="89"/>
  <c r="E62" i="89" s="1"/>
  <c r="H37" i="89"/>
  <c r="F33" i="89"/>
  <c r="F60" i="89" s="1"/>
  <c r="G33" i="89"/>
  <c r="G60" i="89" s="1"/>
  <c r="E120" i="89"/>
  <c r="H40" i="89" l="1"/>
  <c r="H41" i="89"/>
  <c r="H38" i="89"/>
  <c r="H44" i="89"/>
  <c r="H42" i="89"/>
  <c r="H39" i="89"/>
  <c r="E33" i="89"/>
  <c r="E41" i="89" s="1"/>
  <c r="F40" i="89"/>
  <c r="F43" i="89"/>
  <c r="F39" i="89"/>
  <c r="F42" i="89"/>
  <c r="F38" i="89"/>
  <c r="F37" i="89"/>
  <c r="F41" i="89"/>
  <c r="G43" i="89"/>
  <c r="G44" i="89"/>
  <c r="G41" i="89"/>
  <c r="G42" i="89"/>
  <c r="G38" i="89"/>
  <c r="G37" i="89"/>
  <c r="G40" i="89"/>
  <c r="E74" i="89"/>
  <c r="E44" i="89" l="1"/>
  <c r="E40" i="89"/>
  <c r="E60" i="89"/>
  <c r="E43" i="89"/>
  <c r="H45" i="89"/>
  <c r="H61" i="89" s="1"/>
  <c r="H63" i="89" s="1"/>
  <c r="E39" i="89"/>
  <c r="E42" i="89"/>
  <c r="E122" i="89"/>
  <c r="G45" i="89"/>
  <c r="G61" i="89" s="1"/>
  <c r="G63" i="89" s="1"/>
  <c r="F45" i="89"/>
  <c r="F61" i="89" s="1"/>
  <c r="F63" i="89" s="1"/>
  <c r="G121" i="89" l="1"/>
  <c r="F121" i="89"/>
  <c r="H82" i="89"/>
  <c r="H121" i="89"/>
  <c r="H84" i="89"/>
  <c r="H81" i="89"/>
  <c r="H83" i="89"/>
  <c r="H80" i="89"/>
  <c r="H79" i="89"/>
  <c r="E45" i="89"/>
  <c r="E61" i="89" s="1"/>
  <c r="E63" i="89" s="1"/>
  <c r="E84" i="89" s="1"/>
  <c r="F79" i="89"/>
  <c r="F81" i="89"/>
  <c r="F84" i="89"/>
  <c r="F83" i="89"/>
  <c r="F82" i="89"/>
  <c r="F80" i="89"/>
  <c r="G83" i="89"/>
  <c r="G82" i="89"/>
  <c r="G81" i="89"/>
  <c r="G79" i="89"/>
  <c r="G80" i="89"/>
  <c r="G84" i="89"/>
  <c r="E81" i="89" l="1"/>
  <c r="E79" i="89"/>
  <c r="E80" i="89"/>
  <c r="H85" i="89"/>
  <c r="H95" i="89" s="1"/>
  <c r="H97" i="89" s="1"/>
  <c r="E121" i="89"/>
  <c r="E83" i="89"/>
  <c r="E82" i="89"/>
  <c r="F85" i="89"/>
  <c r="F95" i="89" s="1"/>
  <c r="F97" i="89" s="1"/>
  <c r="G85" i="89"/>
  <c r="G95" i="89" s="1"/>
  <c r="G97" i="89" s="1"/>
  <c r="E104" i="89"/>
  <c r="G123" i="89" l="1"/>
  <c r="G125" i="89" s="1"/>
  <c r="G109" i="89"/>
  <c r="F123" i="89"/>
  <c r="F125" i="89" s="1"/>
  <c r="F109" i="89"/>
  <c r="H123" i="89"/>
  <c r="H125" i="89" s="1"/>
  <c r="H109" i="89"/>
  <c r="E85" i="89"/>
  <c r="E95" i="89" s="1"/>
  <c r="E97" i="89" s="1"/>
  <c r="E124" i="89"/>
  <c r="H110" i="89" l="1"/>
  <c r="H111" i="89" s="1"/>
  <c r="G110" i="89"/>
  <c r="G111" i="89" s="1"/>
  <c r="E123" i="89"/>
  <c r="E125" i="89" s="1"/>
  <c r="E109" i="89"/>
  <c r="F110" i="89"/>
  <c r="F111" i="89" s="1"/>
  <c r="G112" i="89" l="1"/>
  <c r="G114" i="89"/>
  <c r="G113" i="89"/>
  <c r="H114" i="89"/>
  <c r="H113" i="89"/>
  <c r="H112" i="89"/>
  <c r="F114" i="89"/>
  <c r="F113" i="89"/>
  <c r="F112" i="89"/>
  <c r="E110" i="89"/>
  <c r="E111" i="89" s="1"/>
  <c r="E112" i="89" s="1"/>
  <c r="F115" i="89" l="1"/>
  <c r="F126" i="89" s="1"/>
  <c r="F127" i="89" s="1"/>
  <c r="F129" i="89" s="1"/>
  <c r="I3" i="91" s="1"/>
  <c r="J3" i="91" s="1"/>
  <c r="K3" i="91" s="1"/>
  <c r="H115" i="89"/>
  <c r="H126" i="89" s="1"/>
  <c r="H127" i="89" s="1"/>
  <c r="H129" i="89" s="1"/>
  <c r="I5" i="91" s="1"/>
  <c r="J5" i="91" s="1"/>
  <c r="K5" i="91" s="1"/>
  <c r="G115" i="89"/>
  <c r="G126" i="89" s="1"/>
  <c r="G127" i="89" s="1"/>
  <c r="G129" i="89" s="1"/>
  <c r="I4" i="91" s="1"/>
  <c r="J4" i="91" s="1"/>
  <c r="K4" i="91" s="1"/>
  <c r="E114" i="89"/>
  <c r="E113" i="89"/>
  <c r="E115" i="89" l="1"/>
  <c r="E126" i="89" s="1"/>
  <c r="E127" i="89" s="1"/>
  <c r="E129" i="89" s="1"/>
  <c r="I2" i="91" s="1"/>
  <c r="J2" i="91" s="1"/>
  <c r="K2" i="91" s="1"/>
</calcChain>
</file>

<file path=xl/sharedStrings.xml><?xml version="1.0" encoding="utf-8"?>
<sst xmlns="http://schemas.openxmlformats.org/spreadsheetml/2006/main" count="287" uniqueCount="145">
  <si>
    <t>TOTAL</t>
  </si>
  <si>
    <t>Adicional Noturno</t>
  </si>
  <si>
    <t>Composição da Remuneração</t>
  </si>
  <si>
    <t>A</t>
  </si>
  <si>
    <t>B</t>
  </si>
  <si>
    <t>C</t>
  </si>
  <si>
    <t>D</t>
  </si>
  <si>
    <t>E</t>
  </si>
  <si>
    <t>F</t>
  </si>
  <si>
    <t>G</t>
  </si>
  <si>
    <t>Referência</t>
  </si>
  <si>
    <t>MÓDULO 1 - COMPOSIÇÃO DA REMUNERAÇÃO</t>
  </si>
  <si>
    <t>Benefícios Mensais e Diários</t>
  </si>
  <si>
    <t>4.1</t>
  </si>
  <si>
    <t>4.2</t>
  </si>
  <si>
    <t>Provisão para Rescisão</t>
  </si>
  <si>
    <t>Custos Indiretos, Tributos e Lucro</t>
  </si>
  <si>
    <t>Lucro</t>
  </si>
  <si>
    <t>QUADRO RESUMO DO CUSTO POR EMPREGADO</t>
  </si>
  <si>
    <t>Mão de Obra Vinculada à Execução Contratual (Valor por Empregado)</t>
  </si>
  <si>
    <t>Custos Indiretos</t>
  </si>
  <si>
    <t>Data base da categoria</t>
  </si>
  <si>
    <t>Tipo de serviço</t>
  </si>
  <si>
    <t>MÃO DE OBRA</t>
  </si>
  <si>
    <t xml:space="preserve">DATA DE APRESENTAÇÃO DA PROPOSTA </t>
  </si>
  <si>
    <t>MUNICÍPIO/ UF</t>
  </si>
  <si>
    <t>ANO DE CONVENÇÃO COLETIVA DE TRABALHO</t>
  </si>
  <si>
    <t>NÚMERO DE MESES DE EXECUÇÃO CONTRATUAL</t>
  </si>
  <si>
    <t xml:space="preserve">DISCRIMINAÇÃO DOS SERVIÇOS </t>
  </si>
  <si>
    <t>Insumos Diversos</t>
  </si>
  <si>
    <t>MÓDULO 2 - ENCARGOS E BENEFÍCIOS ANUAIS, MENSAIS E DIÁRIOS</t>
  </si>
  <si>
    <t>2.1</t>
  </si>
  <si>
    <t>13º (décimo terceiro) Salário, Férias e Adicional de Férias</t>
  </si>
  <si>
    <t>Encargos Previdenciários (GPS), Fundo de Garantia por Tempo de Serviço (FGTS) e outras contribuições</t>
  </si>
  <si>
    <t>2.2</t>
  </si>
  <si>
    <t>2.3</t>
  </si>
  <si>
    <t>QUADRO RESUMO DO MÓDULO 2: ENCARGOS E BENEFÍCIOS ANUAIS, MENSAIS E DIÁRIOS</t>
  </si>
  <si>
    <t>Encargos e Benefícios Anuais, Mensais e Diários</t>
  </si>
  <si>
    <t>GPS, FGTS e outras contribuições</t>
  </si>
  <si>
    <t>Benefícios Mensais e Diários Total</t>
  </si>
  <si>
    <t>MÓDULO 3 - PROVISÃO PARA RESCISÃO</t>
  </si>
  <si>
    <t>MÓDULO 4 - CUSTO DE REPOSIÇÃO DO PROFISSIONAL AUSENTE</t>
  </si>
  <si>
    <t xml:space="preserve">Ausências Legais </t>
  </si>
  <si>
    <t>Intrajornada</t>
  </si>
  <si>
    <t>QUADRO RESUMO DO MÓDULO 4: CUSTO DE REPOSIÇÃO DO PROFISSIONAL AUSENTE</t>
  </si>
  <si>
    <t>CUSTO DE REPOSIÇÃO DO PROFISSIONAL AUSENTE</t>
  </si>
  <si>
    <t>MÓDULO 5 - INSUMOS DIVERSOS</t>
  </si>
  <si>
    <t>MÓDULO 6 - CUSTOS INDIRETOS, TRIBUTOS E LUCRO</t>
  </si>
  <si>
    <t>(A+B+C+D+E)</t>
  </si>
  <si>
    <t>DADOS PARA COMPOSIÇÃO DOS CUSTOS REFERENTE À MÃO DE OBRA</t>
  </si>
  <si>
    <t>Classificação Brasileira de Ocupação (CBO)</t>
  </si>
  <si>
    <t>Categoria profissional (vinculada à execução contratual )</t>
  </si>
  <si>
    <t>TRIBUTOS FEDERAIS - COFINS</t>
  </si>
  <si>
    <t>TRIBUTOS FEDERAIS - PIS</t>
  </si>
  <si>
    <t>TRIBUTOS MUNICIPAIS - ISS</t>
  </si>
  <si>
    <t>VALOR TOTAL (MENSAL POR EMPREGADO)</t>
  </si>
  <si>
    <t>PLANILHA DE CUSTOS E FORMAÇÃO DE PREÇOS</t>
  </si>
  <si>
    <t>Percentual</t>
  </si>
  <si>
    <t xml:space="preserve">Adicional de Periculosidade </t>
  </si>
  <si>
    <t xml:space="preserve">INSS </t>
  </si>
  <si>
    <t>SALÁRIO EDUCAÇÃO</t>
  </si>
  <si>
    <t xml:space="preserve">SESC OU SESI </t>
  </si>
  <si>
    <t xml:space="preserve">FGTS </t>
  </si>
  <si>
    <t>H</t>
  </si>
  <si>
    <t>Salário Base</t>
  </si>
  <si>
    <t>SUBTOTAL</t>
  </si>
  <si>
    <t xml:space="preserve">Uniformes </t>
  </si>
  <si>
    <t xml:space="preserve">Fortaleza/CE </t>
  </si>
  <si>
    <t>Fortaleza/CE</t>
  </si>
  <si>
    <t>Salário normativo da categoria profissional para jornada de 36 h/sem</t>
  </si>
  <si>
    <t xml:space="preserve">SENAI - SENAC </t>
  </si>
  <si>
    <t xml:space="preserve">SEBRAE </t>
  </si>
  <si>
    <t xml:space="preserve">INCRA </t>
  </si>
  <si>
    <t>Aviso Prévio Indenizado - Memória de Cálculo: { (1 mês não trabalhado / 12 meses) X 5% de rotatividade anual}</t>
  </si>
  <si>
    <t>13º (décimo terceiro) Salário - Memória de Cálculo: 1/12(meses) x  100 % = 8,33%</t>
  </si>
  <si>
    <t>Férias e Adicional de Férias - Memória de Cálculo: [1/12(meses) +1/12(meses)x1/3] x  100 % = 11,11%.</t>
  </si>
  <si>
    <t>Grupo</t>
  </si>
  <si>
    <t>Item</t>
  </si>
  <si>
    <t>Descrição</t>
  </si>
  <si>
    <t>Turno</t>
  </si>
  <si>
    <t>Local de Execução</t>
  </si>
  <si>
    <t>Quantidade de Postos</t>
  </si>
  <si>
    <t>Quantidade de Vigilantes</t>
  </si>
  <si>
    <t>CATSER</t>
  </si>
  <si>
    <t>Valor Unitário de Referência</t>
  </si>
  <si>
    <t>Valor Mensal de Referência</t>
  </si>
  <si>
    <t>Valor Anual de Referência</t>
  </si>
  <si>
    <t>Posto de Vigilância e Segurança ostensiva armado envolvendo 2 vigilantes em cada posto com turno de 12 horas com jornada de trabalho de 12x36 horas</t>
  </si>
  <si>
    <t>Diurno</t>
  </si>
  <si>
    <t>Noturno</t>
  </si>
  <si>
    <t>Juazeiro do Norte/CE</t>
  </si>
  <si>
    <t>Nº DO PROCESSO: 08270.007712/2022-03</t>
  </si>
  <si>
    <t>LICITAÇÃO (PREGÃO ELETRÔNICO) Nº: 09/2022</t>
  </si>
  <si>
    <t>CE000219/2022</t>
  </si>
  <si>
    <t>Vigilante Armado</t>
  </si>
  <si>
    <t>5173-30</t>
  </si>
  <si>
    <t>01/jan/2022</t>
  </si>
  <si>
    <t>Adicional de Hora Noturna Reduzida</t>
  </si>
  <si>
    <t>SAT = RAT x FAT (Enviar Gfip + Fapweb para conferência)</t>
  </si>
  <si>
    <t>Vale-Refeição ou Vale-Alimentação</t>
  </si>
  <si>
    <t>Auxílio Creche</t>
  </si>
  <si>
    <t>Seguro de Vida</t>
  </si>
  <si>
    <t>Plano de Saúde</t>
  </si>
  <si>
    <t>Vale Transporte</t>
  </si>
  <si>
    <t>Auxílio Morte/Funeral</t>
  </si>
  <si>
    <t>Aviso Prévio Trabalhado - Memória de Cálculo: APT = (7/30) ÷ 12 × 100 ∴ % APT ≅ 1,94% (7/30 = proporção de dias de aviso prévio a que o empregado tem direito de se ausentar durante o mês; 12 = número de meses do ano)</t>
  </si>
  <si>
    <t>Incidência de GPS, FGTS e outras contribuições sobre o Aviso Prévio Trabalhado - Memória de Cálculo: Encargos sobre APT = % do Submódulo 2.2 × % Aviso Prévio Trabalhado</t>
  </si>
  <si>
    <t>Multa do FGTS e contribuição social sobre o Aviso Prévio Trabalhado - Memória de Cáluclo: Multa e CS sobre FGTS = APT × 0,08 × 0,4 × 100 (Índice que demonstra o custo estimado com a Multa do FGTS e contribuição social sobre o Aviso Prévio Trabalhado - Alíquota do FGTS: 8%, Alíquota da Multa sobre o saldo do FGTS: 40%)</t>
  </si>
  <si>
    <t>Substituto nas Ausências Legais</t>
  </si>
  <si>
    <t>Substituto na cobertura Férias - Arts. 129 e 130, inc. I, da CLT. (Será pago somente após o 1º ano de contrato)</t>
  </si>
  <si>
    <t>Substituto na cobertura das Ausências Legais - Memória de Cálculo: AL = (1 ÷ 30 ÷ 12) × 100 ≅ 0,28% (Estimativa de 1 dia de licença por ano com falta justificada: doação de sangue, retirar título de eleitor, falecimento de cônjuge etc).</t>
  </si>
  <si>
    <t>Substituto na cobertura da Ausência por Acidente de Trabalho - Memória de Cálculo: AT = (1 ÷ 12) × 0,0178 × 100 ≅ 0,15% (Estimativa de 1 (uma) licença de 30 (trinta) dias por ano e de 1,78% dos empregados usufruindo 30 (trinta) dias de licença por ano.)</t>
  </si>
  <si>
    <t>Substituto na Intrajornada</t>
  </si>
  <si>
    <t>Substituto na cobertura de Intervalo para repouso ou alimentação</t>
  </si>
  <si>
    <t>Materiais e Equipamentos</t>
  </si>
  <si>
    <t>UNIFORME</t>
  </si>
  <si>
    <t>Vida útil (Meses)</t>
  </si>
  <si>
    <t>Quantidade Anualmente</t>
  </si>
  <si>
    <t>Valor total</t>
  </si>
  <si>
    <t>Crachá de identificação</t>
  </si>
  <si>
    <t>Capa de Chuva</t>
  </si>
  <si>
    <t>EQUIPAMENTOS</t>
  </si>
  <si>
    <t>Valor Unitário</t>
  </si>
  <si>
    <t xml:space="preserve">Quantidade </t>
  </si>
  <si>
    <t>Munição calibre 38 para duas cargas;</t>
  </si>
  <si>
    <t>Lanterna tática (recarregável), led, resistente a água e pequenas quedas</t>
  </si>
  <si>
    <t>Livro de Ocorrências</t>
  </si>
  <si>
    <t>Apito com cordão</t>
  </si>
  <si>
    <t>Porta Cassetete tipo tonfa</t>
  </si>
  <si>
    <t xml:space="preserve">Revólver calibre 38 </t>
  </si>
  <si>
    <t>Colete balístico nível II-A no tamanho do vigilante</t>
  </si>
  <si>
    <t>Rádio comunicador (HT) ou “walkie-talkie” com bateria recarregável reserva</t>
  </si>
  <si>
    <t>Cassetete tipo tonfa</t>
  </si>
  <si>
    <t>Cinto com coldre para revolver calibre 38 e baleiro</t>
  </si>
  <si>
    <t>Par de sapatos pretos ou marrom tipo coturno (par)</t>
  </si>
  <si>
    <t>Calça para vigilante, tipo militar em brim, com logotipo da empresa no bolso direito</t>
  </si>
  <si>
    <t>Camisa para vigilante, tipo militar em brim, com logotipo da empresa no bolso direito</t>
  </si>
  <si>
    <t>Pares de Meias cor preta</t>
  </si>
  <si>
    <t>VALOR TOTAL DO POSTO</t>
  </si>
  <si>
    <t>Incidência do FGTS Sobre o Aviso Prévio Indenizado - Memória de Cálculo: FGTS sobre API = API × 0,08 × 100 → % FGTS sobre API = 0,0042 × 0,08 × 100 ≅ 0,03% (Alíquota do FGTS: 8%)</t>
  </si>
  <si>
    <t>Substituto na cobertura da Licença Paternidade - Memória de Cálculo: LP = (5 ÷ 30 ÷ 12) × 1,5% × 100 ≅ 0,02%. Estimativa de 5 dias de ausência legal por ano (período da licença paternidade). Dados do IBGE: 1,5% é a média de trabalhadores que são pais durante o ano).</t>
  </si>
  <si>
    <t>Multa do FGTS e contribuição social sobre o aviso prévio indenizado - Memória de Cálculo: Multa sobre FGTS = [1 + 2/12 + (1/3 x 1/12)] x 0,08 × 0,4 × 0,9 × 100 ≅ 3,44% (1 = Remuneração mensal; 2/12 = Estimativa de 13º e férias; (1/3 x 1/12) = Estimativa de 1/3 de férias; 8% = alíquota do FGTS/ 40% = Alíquota da Multa sobre o saldo do FGTS; 90% = Funcionários remanescentes (estimativa de 10% dos funcionários pedirem demissão)</t>
  </si>
  <si>
    <t>Substituto na cobertura de Afastamento Maternidade - Art. 7º, XIX, CF/88 e 10, § 1º da CLT - Memória de Cálculo: LM = 1/12 + (1/3 x 1/12) x 44% x 20% x (4/12) ≅ 0,19%. Provisão de férias = 1/12; Provisão mensal de 1/3 de férias = (1/13*1/12); Anuário Estatístico do RAIS indica que 44% dos empregados são mulheres (filtro: Ceará, serviços, ano 2020). Estima-se que é concedido 20% de salário maternidade em relação a quantidade de mulheres empregadas. Período de 4 meses de licença durante um ano = 4/12.</t>
  </si>
  <si>
    <t>Substituto na cobertura de Outras Ausências (doença). Memória de Cálculo: LM = (5 ÷ 30 ÷ 12) × 100 ≅ 1,39% (Estimativa de 5 dias de licença por ano)</t>
  </si>
  <si>
    <t>Base de cálculo para tributos = Módulo 01 + Módulo 02 + Módulo 03 + Módulo 04 + Módulo 05 + Custos Indiretos + Lucro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</si>
</sst>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\ #,##0.00"/>
    <numFmt numFmtId="166" formatCode="&quot;R$&quot;#,##0.00"/>
    <numFmt numFmtId="167" formatCode="[$R$-416]\ #,##0.00;[Red]\-[$R$-416]\ #,##0.00"/>
    <numFmt numFmtId="168" formatCode="0.0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4" fillId="0" borderId="0"/>
  </cellStyleXfs>
  <cellXfs count="147">
    <xf numFmtId="0" fontId="0" fillId="0" borderId="0" xfId="0"/>
    <xf numFmtId="10" fontId="5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0" xfId="0" applyFont="1" applyFill="1"/>
    <xf numFmtId="0" fontId="5" fillId="0" borderId="1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10" fontId="5" fillId="0" borderId="0" xfId="1" applyNumberFormat="1" applyFont="1" applyFill="1"/>
    <xf numFmtId="10" fontId="6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10" fontId="5" fillId="0" borderId="1" xfId="0" applyNumberFormat="1" applyFont="1" applyFill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5" fillId="2" borderId="1" xfId="1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4" fontId="7" fillId="3" borderId="1" xfId="3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165" fontId="5" fillId="0" borderId="1" xfId="0" applyNumberFormat="1" applyFont="1" applyFill="1" applyBorder="1" applyAlignment="1">
      <alignment horizontal="center" vertical="center"/>
    </xf>
    <xf numFmtId="44" fontId="6" fillId="0" borderId="5" xfId="3" applyFont="1" applyFill="1" applyBorder="1" applyAlignment="1">
      <alignment horizontal="center" vertical="center" wrapText="1"/>
    </xf>
    <xf numFmtId="44" fontId="6" fillId="0" borderId="5" xfId="3" applyFont="1" applyFill="1" applyBorder="1" applyAlignment="1">
      <alignment horizontal="center" vertical="center"/>
    </xf>
    <xf numFmtId="44" fontId="5" fillId="0" borderId="1" xfId="3" applyFont="1" applyFill="1" applyBorder="1" applyAlignment="1">
      <alignment horizontal="center" vertical="center"/>
    </xf>
    <xf numFmtId="44" fontId="6" fillId="0" borderId="0" xfId="3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4" fontId="6" fillId="0" borderId="1" xfId="3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2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44" fontId="5" fillId="0" borderId="1" xfId="3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center" vertical="center"/>
    </xf>
    <xf numFmtId="44" fontId="6" fillId="0" borderId="1" xfId="3" applyFont="1" applyFill="1" applyBorder="1" applyAlignment="1">
      <alignment horizontal="center" vertical="center" wrapText="1"/>
    </xf>
    <xf numFmtId="10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165" fontId="5" fillId="0" borderId="16" xfId="0" applyNumberFormat="1" applyFont="1" applyFill="1" applyBorder="1" applyAlignment="1">
      <alignment horizontal="center" vertical="center"/>
    </xf>
    <xf numFmtId="168" fontId="6" fillId="0" borderId="0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0" applyFont="1" applyFill="1" applyAlignment="1">
      <alignment horizontal="center" wrapText="1"/>
    </xf>
    <xf numFmtId="0" fontId="8" fillId="3" borderId="1" xfId="0" applyFont="1" applyFill="1" applyBorder="1" applyAlignment="1">
      <alignment wrapText="1"/>
    </xf>
    <xf numFmtId="44" fontId="8" fillId="3" borderId="1" xfId="3" applyFont="1" applyFill="1" applyBorder="1" applyAlignment="1">
      <alignment horizontal="center" vertical="center" wrapText="1"/>
    </xf>
    <xf numFmtId="0" fontId="8" fillId="3" borderId="1" xfId="3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0" fillId="3" borderId="1" xfId="3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wrapText="1"/>
    </xf>
    <xf numFmtId="0" fontId="8" fillId="3" borderId="16" xfId="0" applyFont="1" applyFill="1" applyBorder="1" applyAlignment="1">
      <alignment wrapText="1"/>
    </xf>
    <xf numFmtId="44" fontId="8" fillId="3" borderId="16" xfId="3" applyFont="1" applyFill="1" applyBorder="1" applyAlignment="1">
      <alignment horizontal="center" vertical="center" wrapText="1"/>
    </xf>
    <xf numFmtId="0" fontId="8" fillId="3" borderId="16" xfId="3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44" fontId="9" fillId="3" borderId="8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/>
    <xf numFmtId="165" fontId="6" fillId="0" borderId="23" xfId="0" applyNumberFormat="1" applyFont="1" applyFill="1" applyBorder="1" applyAlignment="1">
      <alignment horizontal="center" vertical="center"/>
    </xf>
    <xf numFmtId="165" fontId="6" fillId="0" borderId="12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4" fontId="5" fillId="0" borderId="14" xfId="0" applyNumberFormat="1" applyFont="1" applyFill="1" applyBorder="1" applyAlignment="1">
      <alignment horizontal="center"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44" fontId="8" fillId="2" borderId="1" xfId="3" applyFont="1" applyFill="1" applyBorder="1" applyAlignment="1">
      <alignment horizontal="center" vertical="center" wrapText="1"/>
    </xf>
    <xf numFmtId="44" fontId="8" fillId="2" borderId="16" xfId="3" applyFont="1" applyFill="1" applyBorder="1" applyAlignment="1">
      <alignment horizontal="center" vertical="center" wrapText="1"/>
    </xf>
  </cellXfs>
  <cellStyles count="7">
    <cellStyle name="Moeda" xfId="3" builtinId="4"/>
    <cellStyle name="Moeda 2" xfId="5" xr:uid="{00000000-0005-0000-0000-000001000000}"/>
    <cellStyle name="Normal" xfId="0" builtinId="0"/>
    <cellStyle name="Normal 2" xfId="4" xr:uid="{00000000-0005-0000-0000-000003000000}"/>
    <cellStyle name="Normal 3" xfId="2" xr:uid="{00000000-0005-0000-0000-000004000000}"/>
    <cellStyle name="Normal 4" xfId="6" xr:uid="{00000000-0005-0000-0000-000005000000}"/>
    <cellStyle name="Porcentagem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CEF17-A864-495A-A1EC-2954EC74E1DE}">
  <dimension ref="A1:K6"/>
  <sheetViews>
    <sheetView tabSelected="1" zoomScale="115" zoomScaleNormal="115" workbookViewId="0">
      <selection activeCell="K6" sqref="K6"/>
    </sheetView>
  </sheetViews>
  <sheetFormatPr defaultRowHeight="24" customHeight="1" x14ac:dyDescent="0.25"/>
  <cols>
    <col min="1" max="1" width="6.5703125" style="34" bestFit="1" customWidth="1"/>
    <col min="2" max="2" width="5.140625" style="34" bestFit="1" customWidth="1"/>
    <col min="3" max="3" width="26.5703125" style="34" customWidth="1"/>
    <col min="4" max="4" width="9.140625" style="34"/>
    <col min="5" max="5" width="19.85546875" style="34" bestFit="1" customWidth="1"/>
    <col min="6" max="6" width="11.85546875" style="34" customWidth="1"/>
    <col min="7" max="7" width="13.28515625" style="34" customWidth="1"/>
    <col min="8" max="8" width="9.140625" style="34"/>
    <col min="9" max="10" width="14.5703125" style="34" customWidth="1"/>
    <col min="11" max="11" width="15.5703125" style="34" bestFit="1" customWidth="1"/>
    <col min="12" max="16384" width="9.140625" style="34"/>
  </cols>
  <sheetData>
    <row r="1" spans="1:11" ht="31.5" customHeight="1" x14ac:dyDescent="0.25">
      <c r="A1" s="30" t="s">
        <v>76</v>
      </c>
      <c r="B1" s="30" t="s">
        <v>77</v>
      </c>
      <c r="C1" s="33" t="s">
        <v>78</v>
      </c>
      <c r="D1" s="30" t="s">
        <v>79</v>
      </c>
      <c r="E1" s="30" t="s">
        <v>80</v>
      </c>
      <c r="F1" s="30" t="s">
        <v>81</v>
      </c>
      <c r="G1" s="30" t="s">
        <v>82</v>
      </c>
      <c r="H1" s="30" t="s">
        <v>83</v>
      </c>
      <c r="I1" s="31" t="s">
        <v>84</v>
      </c>
      <c r="J1" s="31" t="s">
        <v>85</v>
      </c>
      <c r="K1" s="31" t="s">
        <v>86</v>
      </c>
    </row>
    <row r="2" spans="1:11" ht="24" customHeight="1" x14ac:dyDescent="0.25">
      <c r="A2" s="88">
        <v>1</v>
      </c>
      <c r="B2" s="32">
        <v>1</v>
      </c>
      <c r="C2" s="90" t="s">
        <v>87</v>
      </c>
      <c r="D2" s="32" t="s">
        <v>88</v>
      </c>
      <c r="E2" s="32" t="s">
        <v>68</v>
      </c>
      <c r="F2" s="32">
        <v>2</v>
      </c>
      <c r="G2" s="32">
        <f>F2*2</f>
        <v>4</v>
      </c>
      <c r="H2" s="23">
        <v>23647</v>
      </c>
      <c r="I2" s="77">
        <f>VIGILANTE!E129</f>
        <v>9161.4360000000015</v>
      </c>
      <c r="J2" s="77">
        <f>I2*F2</f>
        <v>18322.872000000003</v>
      </c>
      <c r="K2" s="77">
        <f>J2*12</f>
        <v>219874.46400000004</v>
      </c>
    </row>
    <row r="3" spans="1:11" ht="24" customHeight="1" x14ac:dyDescent="0.25">
      <c r="A3" s="88"/>
      <c r="B3" s="32">
        <v>2</v>
      </c>
      <c r="C3" s="88"/>
      <c r="D3" s="32" t="s">
        <v>89</v>
      </c>
      <c r="E3" s="32" t="s">
        <v>68</v>
      </c>
      <c r="F3" s="32">
        <v>2</v>
      </c>
      <c r="G3" s="32">
        <f t="shared" ref="G3:G5" si="0">F3*2</f>
        <v>4</v>
      </c>
      <c r="H3" s="23">
        <v>23957</v>
      </c>
      <c r="I3" s="77">
        <f>VIGILANTE!F129</f>
        <v>10886.956000000002</v>
      </c>
      <c r="J3" s="77">
        <f t="shared" ref="J3:J5" si="1">I3*F3</f>
        <v>21773.912000000004</v>
      </c>
      <c r="K3" s="77">
        <f t="shared" ref="K3:K5" si="2">J3*12</f>
        <v>261286.94400000005</v>
      </c>
    </row>
    <row r="4" spans="1:11" ht="24" customHeight="1" x14ac:dyDescent="0.25">
      <c r="A4" s="88"/>
      <c r="B4" s="32">
        <v>3</v>
      </c>
      <c r="C4" s="88"/>
      <c r="D4" s="32" t="s">
        <v>88</v>
      </c>
      <c r="E4" s="32" t="s">
        <v>90</v>
      </c>
      <c r="F4" s="32">
        <v>1</v>
      </c>
      <c r="G4" s="32">
        <f t="shared" si="0"/>
        <v>2</v>
      </c>
      <c r="H4" s="23">
        <v>23647</v>
      </c>
      <c r="I4" s="77">
        <f>VIGILANTE!G129</f>
        <v>9161.4360000000015</v>
      </c>
      <c r="J4" s="77">
        <f t="shared" si="1"/>
        <v>9161.4360000000015</v>
      </c>
      <c r="K4" s="77">
        <f t="shared" si="2"/>
        <v>109937.23200000002</v>
      </c>
    </row>
    <row r="5" spans="1:11" ht="24" customHeight="1" x14ac:dyDescent="0.25">
      <c r="A5" s="89"/>
      <c r="B5" s="32">
        <v>4</v>
      </c>
      <c r="C5" s="89"/>
      <c r="D5" s="32" t="s">
        <v>89</v>
      </c>
      <c r="E5" s="32" t="s">
        <v>90</v>
      </c>
      <c r="F5" s="32">
        <v>2</v>
      </c>
      <c r="G5" s="32">
        <f t="shared" si="0"/>
        <v>4</v>
      </c>
      <c r="H5" s="23">
        <v>23957</v>
      </c>
      <c r="I5" s="77">
        <f>VIGILANTE!H129</f>
        <v>10886.956000000002</v>
      </c>
      <c r="J5" s="77">
        <f t="shared" si="1"/>
        <v>21773.912000000004</v>
      </c>
      <c r="K5" s="77">
        <f t="shared" si="2"/>
        <v>261286.94400000005</v>
      </c>
    </row>
    <row r="6" spans="1:11" ht="24" customHeight="1" x14ac:dyDescent="0.25">
      <c r="K6" s="78"/>
    </row>
  </sheetData>
  <mergeCells count="2">
    <mergeCell ref="A2:A5"/>
    <mergeCell ref="C2:C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EB5B6-7F1C-49BB-9419-27BF9AA32D27}">
  <sheetPr>
    <tabColor theme="6" tint="0.59999389629810485"/>
  </sheetPr>
  <dimension ref="A1:N148"/>
  <sheetViews>
    <sheetView showGridLines="0" topLeftCell="A109" zoomScale="85" zoomScaleNormal="85" zoomScaleSheetLayoutView="130" workbookViewId="0">
      <selection activeCell="E124" sqref="E124"/>
    </sheetView>
  </sheetViews>
  <sheetFormatPr defaultRowHeight="14.25" x14ac:dyDescent="0.2"/>
  <cols>
    <col min="1" max="1" width="2.28515625" style="2" customWidth="1"/>
    <col min="2" max="2" width="4.5703125" style="2" customWidth="1"/>
    <col min="3" max="3" width="61.42578125" style="2" customWidth="1"/>
    <col min="4" max="4" width="12.140625" style="36" bestFit="1" customWidth="1"/>
    <col min="5" max="5" width="15.5703125" style="2" customWidth="1"/>
    <col min="6" max="8" width="13.85546875" style="2" bestFit="1" customWidth="1"/>
    <col min="9" max="9" width="9.28515625" style="2" customWidth="1"/>
    <col min="10" max="10" width="13.140625" style="2" customWidth="1"/>
    <col min="11" max="16384" width="9.140625" style="2"/>
  </cols>
  <sheetData>
    <row r="1" spans="2:8" ht="16.5" customHeight="1" thickBot="1" x14ac:dyDescent="0.25"/>
    <row r="2" spans="2:8" ht="22.5" customHeight="1" thickBot="1" x14ac:dyDescent="0.25">
      <c r="B2" s="95" t="s">
        <v>56</v>
      </c>
      <c r="C2" s="96"/>
      <c r="D2" s="96"/>
      <c r="E2" s="96"/>
      <c r="F2" s="96"/>
      <c r="G2" s="96"/>
      <c r="H2" s="97"/>
    </row>
    <row r="3" spans="2:8" ht="22.5" customHeight="1" x14ac:dyDescent="0.2">
      <c r="B3" s="100" t="s">
        <v>91</v>
      </c>
      <c r="C3" s="100"/>
      <c r="D3" s="100"/>
      <c r="E3" s="100"/>
      <c r="F3" s="100"/>
      <c r="G3" s="100"/>
      <c r="H3" s="100"/>
    </row>
    <row r="4" spans="2:8" ht="22.5" customHeight="1" x14ac:dyDescent="0.2">
      <c r="B4" s="92" t="s">
        <v>92</v>
      </c>
      <c r="C4" s="92"/>
      <c r="D4" s="92"/>
      <c r="E4" s="92"/>
      <c r="F4" s="92"/>
      <c r="G4" s="92"/>
      <c r="H4" s="92"/>
    </row>
    <row r="5" spans="2:8" ht="35.25" customHeight="1" thickBot="1" x14ac:dyDescent="0.25">
      <c r="B5" s="47"/>
      <c r="C5" s="47"/>
      <c r="D5" s="47"/>
      <c r="E5" s="47"/>
    </row>
    <row r="6" spans="2:8" ht="22.5" customHeight="1" thickBot="1" x14ac:dyDescent="0.25">
      <c r="B6" s="95" t="s">
        <v>28</v>
      </c>
      <c r="C6" s="96"/>
      <c r="D6" s="96"/>
      <c r="E6" s="96"/>
      <c r="F6" s="96"/>
      <c r="G6" s="96"/>
      <c r="H6" s="97"/>
    </row>
    <row r="7" spans="2:8" ht="18.75" customHeight="1" x14ac:dyDescent="0.2">
      <c r="B7" s="53" t="s">
        <v>3</v>
      </c>
      <c r="C7" s="125" t="s">
        <v>24</v>
      </c>
      <c r="D7" s="125"/>
      <c r="E7" s="125"/>
      <c r="F7" s="125"/>
      <c r="G7" s="119">
        <v>44803</v>
      </c>
      <c r="H7" s="120"/>
    </row>
    <row r="8" spans="2:8" ht="18.75" customHeight="1" x14ac:dyDescent="0.2">
      <c r="B8" s="26" t="s">
        <v>4</v>
      </c>
      <c r="C8" s="91" t="s">
        <v>25</v>
      </c>
      <c r="D8" s="91"/>
      <c r="E8" s="91"/>
      <c r="F8" s="91"/>
      <c r="G8" s="121" t="s">
        <v>67</v>
      </c>
      <c r="H8" s="122"/>
    </row>
    <row r="9" spans="2:8" ht="21.75" customHeight="1" x14ac:dyDescent="0.2">
      <c r="B9" s="26" t="s">
        <v>5</v>
      </c>
      <c r="C9" s="91" t="s">
        <v>26</v>
      </c>
      <c r="D9" s="91"/>
      <c r="E9" s="91"/>
      <c r="F9" s="91"/>
      <c r="G9" s="123" t="s">
        <v>93</v>
      </c>
      <c r="H9" s="124"/>
    </row>
    <row r="10" spans="2:8" ht="18.75" customHeight="1" x14ac:dyDescent="0.2">
      <c r="B10" s="26" t="s">
        <v>6</v>
      </c>
      <c r="C10" s="91" t="s">
        <v>27</v>
      </c>
      <c r="D10" s="91"/>
      <c r="E10" s="91"/>
      <c r="F10" s="91"/>
      <c r="G10" s="121">
        <v>12</v>
      </c>
      <c r="H10" s="122"/>
    </row>
    <row r="11" spans="2:8" s="19" customFormat="1" ht="30.75" customHeight="1" thickBot="1" x14ac:dyDescent="0.25">
      <c r="B11" s="20"/>
      <c r="C11" s="49"/>
      <c r="D11" s="20"/>
      <c r="E11" s="49"/>
    </row>
    <row r="12" spans="2:8" ht="18.75" customHeight="1" thickBot="1" x14ac:dyDescent="0.25">
      <c r="B12" s="107" t="s">
        <v>23</v>
      </c>
      <c r="C12" s="108"/>
      <c r="D12" s="108"/>
      <c r="E12" s="108"/>
      <c r="F12" s="108"/>
      <c r="G12" s="108"/>
      <c r="H12" s="109"/>
    </row>
    <row r="13" spans="2:8" ht="18.75" customHeight="1" x14ac:dyDescent="0.2">
      <c r="B13" s="110" t="s">
        <v>49</v>
      </c>
      <c r="C13" s="111"/>
      <c r="D13" s="111"/>
      <c r="E13" s="111"/>
      <c r="F13" s="111"/>
      <c r="G13" s="111"/>
      <c r="H13" s="112"/>
    </row>
    <row r="14" spans="2:8" ht="19.5" customHeight="1" x14ac:dyDescent="0.2">
      <c r="B14" s="26">
        <v>1</v>
      </c>
      <c r="C14" s="91" t="s">
        <v>22</v>
      </c>
      <c r="D14" s="91"/>
      <c r="E14" s="91"/>
      <c r="F14" s="91"/>
      <c r="G14" s="123" t="s">
        <v>94</v>
      </c>
      <c r="H14" s="124"/>
    </row>
    <row r="15" spans="2:8" ht="19.5" customHeight="1" x14ac:dyDescent="0.2">
      <c r="B15" s="26">
        <v>2</v>
      </c>
      <c r="C15" s="91" t="s">
        <v>50</v>
      </c>
      <c r="D15" s="91"/>
      <c r="E15" s="91"/>
      <c r="F15" s="91"/>
      <c r="G15" s="123" t="s">
        <v>95</v>
      </c>
      <c r="H15" s="124"/>
    </row>
    <row r="16" spans="2:8" ht="19.5" customHeight="1" x14ac:dyDescent="0.2">
      <c r="B16" s="26">
        <v>3</v>
      </c>
      <c r="C16" s="94" t="s">
        <v>69</v>
      </c>
      <c r="D16" s="94"/>
      <c r="E16" s="94"/>
      <c r="F16" s="94"/>
      <c r="G16" s="126">
        <v>1558.56</v>
      </c>
      <c r="H16" s="127"/>
    </row>
    <row r="17" spans="2:9" ht="19.5" customHeight="1" x14ac:dyDescent="0.2">
      <c r="B17" s="26">
        <v>4</v>
      </c>
      <c r="C17" s="91" t="s">
        <v>51</v>
      </c>
      <c r="D17" s="91"/>
      <c r="E17" s="91"/>
      <c r="F17" s="91"/>
      <c r="G17" s="123" t="str">
        <f>G14</f>
        <v>Vigilante Armado</v>
      </c>
      <c r="H17" s="124"/>
    </row>
    <row r="18" spans="2:9" ht="19.5" customHeight="1" x14ac:dyDescent="0.2">
      <c r="B18" s="26">
        <v>5</v>
      </c>
      <c r="C18" s="91" t="s">
        <v>21</v>
      </c>
      <c r="D18" s="91"/>
      <c r="E18" s="91"/>
      <c r="F18" s="91"/>
      <c r="G18" s="115" t="s">
        <v>96</v>
      </c>
      <c r="H18" s="116"/>
    </row>
    <row r="19" spans="2:9" ht="29.25" customHeight="1" thickBot="1" x14ac:dyDescent="0.25">
      <c r="B19" s="50"/>
      <c r="C19" s="49"/>
      <c r="D19" s="51"/>
      <c r="E19" s="52"/>
    </row>
    <row r="20" spans="2:9" ht="24" customHeight="1" thickBot="1" x14ac:dyDescent="0.25">
      <c r="B20" s="37" t="s">
        <v>11</v>
      </c>
      <c r="C20" s="38"/>
      <c r="D20" s="38"/>
      <c r="E20" s="105" t="s">
        <v>68</v>
      </c>
      <c r="F20" s="106"/>
      <c r="G20" s="117" t="s">
        <v>90</v>
      </c>
      <c r="H20" s="118"/>
      <c r="I20" s="39"/>
    </row>
    <row r="21" spans="2:9" ht="28.5" customHeight="1" x14ac:dyDescent="0.2">
      <c r="B21" s="7">
        <v>1</v>
      </c>
      <c r="C21" s="103" t="s">
        <v>2</v>
      </c>
      <c r="D21" s="104"/>
      <c r="E21" s="41" t="s">
        <v>88</v>
      </c>
      <c r="F21" s="42" t="s">
        <v>89</v>
      </c>
      <c r="G21" s="41" t="s">
        <v>88</v>
      </c>
      <c r="H21" s="42" t="s">
        <v>89</v>
      </c>
    </row>
    <row r="22" spans="2:9" ht="21" customHeight="1" x14ac:dyDescent="0.2">
      <c r="B22" s="4" t="s">
        <v>3</v>
      </c>
      <c r="C22" s="101" t="s">
        <v>64</v>
      </c>
      <c r="D22" s="102"/>
      <c r="E22" s="43">
        <f>G16</f>
        <v>1558.56</v>
      </c>
      <c r="F22" s="43">
        <f>G16</f>
        <v>1558.56</v>
      </c>
      <c r="G22" s="43">
        <f>G16</f>
        <v>1558.56</v>
      </c>
      <c r="H22" s="43">
        <f>G16</f>
        <v>1558.56</v>
      </c>
    </row>
    <row r="23" spans="2:9" ht="21" customHeight="1" x14ac:dyDescent="0.2">
      <c r="B23" s="4" t="s">
        <v>4</v>
      </c>
      <c r="C23" s="8" t="s">
        <v>58</v>
      </c>
      <c r="D23" s="28"/>
      <c r="E23" s="43">
        <f>30%*E22</f>
        <v>467.56799999999998</v>
      </c>
      <c r="F23" s="55">
        <f>F22*30%</f>
        <v>467.56799999999998</v>
      </c>
      <c r="G23" s="55">
        <f>G22*30%</f>
        <v>467.56799999999998</v>
      </c>
      <c r="H23" s="55">
        <f>H22*30%</f>
        <v>467.56799999999998</v>
      </c>
    </row>
    <row r="24" spans="2:9" ht="21" customHeight="1" x14ac:dyDescent="0.2">
      <c r="B24" s="4" t="s">
        <v>5</v>
      </c>
      <c r="C24" s="8" t="s">
        <v>1</v>
      </c>
      <c r="D24" s="28"/>
      <c r="E24" s="43">
        <v>0</v>
      </c>
      <c r="F24" s="55">
        <v>220.8</v>
      </c>
      <c r="G24" s="55">
        <v>0</v>
      </c>
      <c r="H24" s="55">
        <v>220.8</v>
      </c>
    </row>
    <row r="25" spans="2:9" ht="21" customHeight="1" x14ac:dyDescent="0.2">
      <c r="B25" s="4" t="s">
        <v>6</v>
      </c>
      <c r="C25" s="8" t="s">
        <v>97</v>
      </c>
      <c r="D25" s="28"/>
      <c r="E25" s="43">
        <v>0</v>
      </c>
      <c r="F25" s="55">
        <v>229.65</v>
      </c>
      <c r="G25" s="55">
        <v>0</v>
      </c>
      <c r="H25" s="55">
        <v>229.65</v>
      </c>
    </row>
    <row r="26" spans="2:9" ht="18" customHeight="1" x14ac:dyDescent="0.2">
      <c r="B26" s="93" t="s">
        <v>0</v>
      </c>
      <c r="C26" s="93"/>
      <c r="D26" s="93"/>
      <c r="E26" s="46">
        <f>SUM(E22:E25)</f>
        <v>2026.1279999999999</v>
      </c>
      <c r="F26" s="46">
        <f>SUM(F22:F25)</f>
        <v>2476.578</v>
      </c>
      <c r="G26" s="46">
        <f>SUM(G22:G25)</f>
        <v>2026.1279999999999</v>
      </c>
      <c r="H26" s="46">
        <f>SUM(H22:H25)</f>
        <v>2476.578</v>
      </c>
    </row>
    <row r="27" spans="2:9" ht="30" customHeight="1" thickBot="1" x14ac:dyDescent="0.25">
      <c r="B27" s="45"/>
      <c r="C27" s="45"/>
      <c r="D27" s="45"/>
      <c r="E27" s="44"/>
      <c r="F27" s="44"/>
      <c r="G27" s="44"/>
      <c r="H27" s="44"/>
    </row>
    <row r="28" spans="2:9" ht="27" customHeight="1" thickBot="1" x14ac:dyDescent="0.25">
      <c r="B28" s="107" t="s">
        <v>30</v>
      </c>
      <c r="C28" s="108"/>
      <c r="D28" s="108"/>
      <c r="E28" s="108"/>
      <c r="F28" s="108"/>
      <c r="G28" s="108"/>
      <c r="H28" s="109"/>
    </row>
    <row r="29" spans="2:9" ht="18.75" customHeight="1" x14ac:dyDescent="0.2">
      <c r="B29" s="129" t="s">
        <v>31</v>
      </c>
      <c r="C29" s="130" t="s">
        <v>32</v>
      </c>
      <c r="D29" s="129" t="s">
        <v>57</v>
      </c>
      <c r="E29" s="98" t="s">
        <v>68</v>
      </c>
      <c r="F29" s="98"/>
      <c r="G29" s="98" t="s">
        <v>90</v>
      </c>
      <c r="H29" s="98"/>
    </row>
    <row r="30" spans="2:9" ht="22.5" customHeight="1" x14ac:dyDescent="0.2">
      <c r="B30" s="99"/>
      <c r="C30" s="131"/>
      <c r="D30" s="99"/>
      <c r="E30" s="58" t="s">
        <v>88</v>
      </c>
      <c r="F30" s="46" t="s">
        <v>89</v>
      </c>
      <c r="G30" s="58" t="s">
        <v>88</v>
      </c>
      <c r="H30" s="46" t="s">
        <v>89</v>
      </c>
    </row>
    <row r="31" spans="2:9" ht="31.5" customHeight="1" x14ac:dyDescent="0.2">
      <c r="B31" s="26" t="s">
        <v>3</v>
      </c>
      <c r="C31" s="6" t="s">
        <v>74</v>
      </c>
      <c r="D31" s="1">
        <f>1/12</f>
        <v>8.3333333333333329E-2</v>
      </c>
      <c r="E31" s="40">
        <f>ROUND(D31*E26,2)</f>
        <v>168.84</v>
      </c>
      <c r="F31" s="40">
        <f>ROUND(D31*F26,2)</f>
        <v>206.38</v>
      </c>
      <c r="G31" s="40">
        <f>ROUND(D31*G26,2)</f>
        <v>168.84</v>
      </c>
      <c r="H31" s="40">
        <f>ROUND(D31*$H$26,2)</f>
        <v>206.38</v>
      </c>
    </row>
    <row r="32" spans="2:9" ht="31.5" customHeight="1" x14ac:dyDescent="0.2">
      <c r="B32" s="26" t="s">
        <v>4</v>
      </c>
      <c r="C32" s="6" t="s">
        <v>75</v>
      </c>
      <c r="D32" s="1">
        <f>1/12+1/12*1/3</f>
        <v>0.1111111111111111</v>
      </c>
      <c r="E32" s="40">
        <f>ROUND(D32*$E$26,2)</f>
        <v>225.13</v>
      </c>
      <c r="F32" s="40">
        <f>ROUND(D32*F26,2)</f>
        <v>275.18</v>
      </c>
      <c r="G32" s="40">
        <f>ROUND(D32*G26,2)</f>
        <v>225.13</v>
      </c>
      <c r="H32" s="40">
        <f>ROUND(D32*H26,2)</f>
        <v>275.18</v>
      </c>
    </row>
    <row r="33" spans="2:8" ht="22.5" customHeight="1" x14ac:dyDescent="0.2">
      <c r="B33" s="93" t="s">
        <v>65</v>
      </c>
      <c r="C33" s="93"/>
      <c r="D33" s="10">
        <f>D31+D32</f>
        <v>0.19444444444444442</v>
      </c>
      <c r="E33" s="16">
        <f>E31+E32</f>
        <v>393.97</v>
      </c>
      <c r="F33" s="16">
        <f t="shared" ref="F33:H33" si="0">F31+F32</f>
        <v>481.56</v>
      </c>
      <c r="G33" s="16">
        <f t="shared" si="0"/>
        <v>393.97</v>
      </c>
      <c r="H33" s="16">
        <f t="shared" si="0"/>
        <v>481.56</v>
      </c>
    </row>
    <row r="34" spans="2:8" ht="32.25" customHeight="1" x14ac:dyDescent="0.2">
      <c r="B34" s="45"/>
      <c r="C34" s="45"/>
      <c r="D34" s="57"/>
      <c r="E34" s="56"/>
      <c r="F34" s="56"/>
      <c r="G34" s="56"/>
      <c r="H34" s="56"/>
    </row>
    <row r="35" spans="2:8" ht="19.5" customHeight="1" x14ac:dyDescent="0.2">
      <c r="B35" s="93" t="s">
        <v>34</v>
      </c>
      <c r="C35" s="128" t="s">
        <v>33</v>
      </c>
      <c r="D35" s="93" t="s">
        <v>10</v>
      </c>
      <c r="E35" s="114" t="s">
        <v>68</v>
      </c>
      <c r="F35" s="114"/>
      <c r="G35" s="114" t="s">
        <v>90</v>
      </c>
      <c r="H35" s="114"/>
    </row>
    <row r="36" spans="2:8" ht="19.5" customHeight="1" x14ac:dyDescent="0.2">
      <c r="B36" s="93"/>
      <c r="C36" s="128"/>
      <c r="D36" s="93"/>
      <c r="E36" s="58" t="s">
        <v>88</v>
      </c>
      <c r="F36" s="46" t="s">
        <v>89</v>
      </c>
      <c r="G36" s="58" t="s">
        <v>88</v>
      </c>
      <c r="H36" s="46" t="s">
        <v>89</v>
      </c>
    </row>
    <row r="37" spans="2:8" ht="23.25" customHeight="1" x14ac:dyDescent="0.2">
      <c r="B37" s="29" t="s">
        <v>3</v>
      </c>
      <c r="C37" s="6" t="s">
        <v>59</v>
      </c>
      <c r="D37" s="1">
        <v>0.2</v>
      </c>
      <c r="E37" s="40">
        <f>ROUND($D$37*(E26+E33),2)</f>
        <v>484.02</v>
      </c>
      <c r="F37" s="40">
        <f t="shared" ref="F37:F43" si="1">ROUND(D37*($F$26+$F$33),2)</f>
        <v>591.63</v>
      </c>
      <c r="G37" s="40">
        <f t="shared" ref="G37:G44" si="2">ROUND(D37*($G$26+$G$33),2)</f>
        <v>484.02</v>
      </c>
      <c r="H37" s="40">
        <f t="shared" ref="H37:H44" si="3">ROUND(D37*($H$26+$H$33),2)</f>
        <v>591.63</v>
      </c>
    </row>
    <row r="38" spans="2:8" ht="23.25" customHeight="1" x14ac:dyDescent="0.2">
      <c r="B38" s="29" t="s">
        <v>4</v>
      </c>
      <c r="C38" s="6" t="s">
        <v>60</v>
      </c>
      <c r="D38" s="1">
        <v>2.5000000000000001E-2</v>
      </c>
      <c r="E38" s="40">
        <f>ROUND(D38*($E$26+$E$33),2)</f>
        <v>60.5</v>
      </c>
      <c r="F38" s="40">
        <f t="shared" si="1"/>
        <v>73.95</v>
      </c>
      <c r="G38" s="40">
        <f t="shared" si="2"/>
        <v>60.5</v>
      </c>
      <c r="H38" s="40">
        <f t="shared" si="3"/>
        <v>73.95</v>
      </c>
    </row>
    <row r="39" spans="2:8" ht="23.25" customHeight="1" x14ac:dyDescent="0.2">
      <c r="B39" s="29" t="s">
        <v>5</v>
      </c>
      <c r="C39" s="6" t="s">
        <v>98</v>
      </c>
      <c r="D39" s="24"/>
      <c r="E39" s="40">
        <f t="shared" ref="E39:E44" si="4">ROUND(D39*($E$26+$E$33),2)</f>
        <v>0</v>
      </c>
      <c r="F39" s="40">
        <f t="shared" si="1"/>
        <v>0</v>
      </c>
      <c r="G39" s="40">
        <f>ROUND(D39*($G$26+$G$33),2)</f>
        <v>0</v>
      </c>
      <c r="H39" s="40">
        <f t="shared" si="3"/>
        <v>0</v>
      </c>
    </row>
    <row r="40" spans="2:8" ht="23.25" customHeight="1" x14ac:dyDescent="0.2">
      <c r="B40" s="29" t="s">
        <v>6</v>
      </c>
      <c r="C40" s="6" t="s">
        <v>61</v>
      </c>
      <c r="D40" s="1">
        <v>1.4999999999999999E-2</v>
      </c>
      <c r="E40" s="40">
        <f t="shared" si="4"/>
        <v>36.299999999999997</v>
      </c>
      <c r="F40" s="40">
        <f t="shared" si="1"/>
        <v>44.37</v>
      </c>
      <c r="G40" s="40">
        <f t="shared" si="2"/>
        <v>36.299999999999997</v>
      </c>
      <c r="H40" s="40">
        <f t="shared" si="3"/>
        <v>44.37</v>
      </c>
    </row>
    <row r="41" spans="2:8" ht="23.25" customHeight="1" x14ac:dyDescent="0.2">
      <c r="B41" s="29" t="s">
        <v>7</v>
      </c>
      <c r="C41" s="6" t="s">
        <v>70</v>
      </c>
      <c r="D41" s="1">
        <v>0.01</v>
      </c>
      <c r="E41" s="40">
        <f t="shared" si="4"/>
        <v>24.2</v>
      </c>
      <c r="F41" s="40">
        <f t="shared" si="1"/>
        <v>29.58</v>
      </c>
      <c r="G41" s="40">
        <f t="shared" si="2"/>
        <v>24.2</v>
      </c>
      <c r="H41" s="40">
        <f t="shared" si="3"/>
        <v>29.58</v>
      </c>
    </row>
    <row r="42" spans="2:8" ht="23.25" customHeight="1" x14ac:dyDescent="0.2">
      <c r="B42" s="29" t="s">
        <v>8</v>
      </c>
      <c r="C42" s="6" t="s">
        <v>71</v>
      </c>
      <c r="D42" s="1">
        <v>6.0000000000000001E-3</v>
      </c>
      <c r="E42" s="40">
        <f t="shared" si="4"/>
        <v>14.52</v>
      </c>
      <c r="F42" s="40">
        <f t="shared" si="1"/>
        <v>17.75</v>
      </c>
      <c r="G42" s="40">
        <f t="shared" si="2"/>
        <v>14.52</v>
      </c>
      <c r="H42" s="40">
        <f t="shared" si="3"/>
        <v>17.75</v>
      </c>
    </row>
    <row r="43" spans="2:8" ht="23.25" customHeight="1" x14ac:dyDescent="0.2">
      <c r="B43" s="29" t="s">
        <v>9</v>
      </c>
      <c r="C43" s="6" t="s">
        <v>72</v>
      </c>
      <c r="D43" s="1">
        <v>2E-3</v>
      </c>
      <c r="E43" s="40">
        <f t="shared" si="4"/>
        <v>4.84</v>
      </c>
      <c r="F43" s="40">
        <f t="shared" si="1"/>
        <v>5.92</v>
      </c>
      <c r="G43" s="40">
        <f t="shared" si="2"/>
        <v>4.84</v>
      </c>
      <c r="H43" s="40">
        <f>ROUND(D43*($H$26+$H$33),2)</f>
        <v>5.92</v>
      </c>
    </row>
    <row r="44" spans="2:8" ht="23.25" customHeight="1" x14ac:dyDescent="0.2">
      <c r="B44" s="29" t="s">
        <v>63</v>
      </c>
      <c r="C44" s="6" t="s">
        <v>62</v>
      </c>
      <c r="D44" s="1">
        <v>0.08</v>
      </c>
      <c r="E44" s="40">
        <f t="shared" si="4"/>
        <v>193.61</v>
      </c>
      <c r="F44" s="40">
        <f>ROUND(D44*($F$26+$F$33),2)</f>
        <v>236.65</v>
      </c>
      <c r="G44" s="40">
        <f t="shared" si="2"/>
        <v>193.61</v>
      </c>
      <c r="H44" s="40">
        <f t="shared" si="3"/>
        <v>236.65</v>
      </c>
    </row>
    <row r="45" spans="2:8" ht="18.75" customHeight="1" x14ac:dyDescent="0.2">
      <c r="B45" s="93" t="s">
        <v>0</v>
      </c>
      <c r="C45" s="93"/>
      <c r="D45" s="10">
        <f>SUM(D37:D44)</f>
        <v>0.33800000000000002</v>
      </c>
      <c r="E45" s="16">
        <f>SUM(E37:E44)</f>
        <v>817.99</v>
      </c>
      <c r="F45" s="16">
        <f t="shared" ref="F45:H45" si="5">SUM(F37:F44)</f>
        <v>999.85</v>
      </c>
      <c r="G45" s="16">
        <f t="shared" si="5"/>
        <v>817.99</v>
      </c>
      <c r="H45" s="16">
        <f t="shared" si="5"/>
        <v>999.85</v>
      </c>
    </row>
    <row r="46" spans="2:8" ht="23.25" customHeight="1" x14ac:dyDescent="0.2">
      <c r="B46" s="27"/>
      <c r="C46" s="27"/>
      <c r="D46" s="59"/>
      <c r="E46" s="60"/>
      <c r="F46" s="60"/>
      <c r="G46" s="60"/>
      <c r="H46" s="60"/>
    </row>
    <row r="47" spans="2:8" ht="18.75" customHeight="1" x14ac:dyDescent="0.2">
      <c r="B47" s="93" t="s">
        <v>35</v>
      </c>
      <c r="C47" s="132" t="s">
        <v>12</v>
      </c>
      <c r="D47" s="93" t="s">
        <v>10</v>
      </c>
      <c r="E47" s="114" t="s">
        <v>68</v>
      </c>
      <c r="F47" s="114"/>
      <c r="G47" s="114" t="s">
        <v>90</v>
      </c>
      <c r="H47" s="114"/>
    </row>
    <row r="48" spans="2:8" ht="20.25" customHeight="1" x14ac:dyDescent="0.2">
      <c r="B48" s="93"/>
      <c r="C48" s="132"/>
      <c r="D48" s="93"/>
      <c r="E48" s="58" t="s">
        <v>88</v>
      </c>
      <c r="F48" s="46" t="s">
        <v>89</v>
      </c>
      <c r="G48" s="58" t="s">
        <v>88</v>
      </c>
      <c r="H48" s="46" t="s">
        <v>89</v>
      </c>
    </row>
    <row r="49" spans="2:8" ht="21" customHeight="1" x14ac:dyDescent="0.2">
      <c r="B49" s="29" t="s">
        <v>3</v>
      </c>
      <c r="C49" s="61" t="s">
        <v>103</v>
      </c>
      <c r="D49" s="22">
        <v>3.9</v>
      </c>
      <c r="E49" s="40">
        <f>D49*15*2-6%*E22</f>
        <v>23.486400000000003</v>
      </c>
      <c r="F49" s="40">
        <f>D49*15*2-6%*E22</f>
        <v>23.486400000000003</v>
      </c>
      <c r="G49" s="40">
        <f>D49*15*2-6%*G22</f>
        <v>23.486400000000003</v>
      </c>
      <c r="H49" s="40">
        <f>D49*15*2-6%*H22</f>
        <v>23.486400000000003</v>
      </c>
    </row>
    <row r="50" spans="2:8" ht="21" customHeight="1" x14ac:dyDescent="0.2">
      <c r="B50" s="29" t="s">
        <v>4</v>
      </c>
      <c r="C50" s="6" t="s">
        <v>99</v>
      </c>
      <c r="D50" s="11">
        <v>31.91</v>
      </c>
      <c r="E50" s="62">
        <f>15*$D$50*85%</f>
        <v>406.85249999999996</v>
      </c>
      <c r="F50" s="62">
        <f t="shared" ref="F50:H50" si="6">15*$D$50*85%</f>
        <v>406.85249999999996</v>
      </c>
      <c r="G50" s="62">
        <f t="shared" si="6"/>
        <v>406.85249999999996</v>
      </c>
      <c r="H50" s="62">
        <f t="shared" si="6"/>
        <v>406.85249999999996</v>
      </c>
    </row>
    <row r="51" spans="2:8" ht="21" customHeight="1" x14ac:dyDescent="0.2">
      <c r="B51" s="29" t="s">
        <v>5</v>
      </c>
      <c r="C51" s="6" t="s">
        <v>102</v>
      </c>
      <c r="D51" s="11">
        <v>81.98</v>
      </c>
      <c r="E51" s="40">
        <v>81.98</v>
      </c>
      <c r="F51" s="11">
        <v>81.98</v>
      </c>
      <c r="G51" s="40">
        <v>81.98</v>
      </c>
      <c r="H51" s="11">
        <v>81.98</v>
      </c>
    </row>
    <row r="52" spans="2:8" ht="21" customHeight="1" x14ac:dyDescent="0.2">
      <c r="B52" s="29" t="s">
        <v>6</v>
      </c>
      <c r="C52" s="6" t="s">
        <v>100</v>
      </c>
      <c r="D52" s="11">
        <v>142.26</v>
      </c>
      <c r="E52" s="40">
        <f>($D$52*4/60)*0.1%</f>
        <v>9.4839999999999994E-3</v>
      </c>
      <c r="F52" s="40">
        <f>($D$52*4/60)*0.1%</f>
        <v>9.4839999999999994E-3</v>
      </c>
      <c r="G52" s="40">
        <f>($D$52*4/60)*0.1%</f>
        <v>9.4839999999999994E-3</v>
      </c>
      <c r="H52" s="40">
        <f>($D$52*4/60)*0.1%</f>
        <v>9.4839999999999994E-3</v>
      </c>
    </row>
    <row r="53" spans="2:8" ht="21" customHeight="1" x14ac:dyDescent="0.2">
      <c r="B53" s="29" t="s">
        <v>7</v>
      </c>
      <c r="C53" s="6" t="s">
        <v>104</v>
      </c>
      <c r="D53" s="11"/>
      <c r="E53" s="40">
        <f>4*E22*0.01%</f>
        <v>0.62342399999999998</v>
      </c>
      <c r="F53" s="40">
        <f>4*F22*0.01%</f>
        <v>0.62342399999999998</v>
      </c>
      <c r="G53" s="40">
        <f>4*G22*0.01%</f>
        <v>0.62342399999999998</v>
      </c>
      <c r="H53" s="40">
        <f>4*H22*0.01%</f>
        <v>0.62342399999999998</v>
      </c>
    </row>
    <row r="54" spans="2:8" ht="21" customHeight="1" x14ac:dyDescent="0.2">
      <c r="B54" s="29" t="s">
        <v>8</v>
      </c>
      <c r="C54" s="6" t="s">
        <v>101</v>
      </c>
      <c r="D54" s="11"/>
      <c r="E54" s="40">
        <f>60*E22*0.01%</f>
        <v>9.3513599999999997</v>
      </c>
      <c r="F54" s="40">
        <f>60*F22*0.01%</f>
        <v>9.3513599999999997</v>
      </c>
      <c r="G54" s="40">
        <f>60*G22*0.01%</f>
        <v>9.3513599999999997</v>
      </c>
      <c r="H54" s="40">
        <f>60*H22*0.01%</f>
        <v>9.3513599999999997</v>
      </c>
    </row>
    <row r="55" spans="2:8" ht="18.75" customHeight="1" x14ac:dyDescent="0.2">
      <c r="B55" s="93" t="s">
        <v>0</v>
      </c>
      <c r="C55" s="93"/>
      <c r="D55" s="93"/>
      <c r="E55" s="16">
        <f>ROUND(SUM(E49:E54),2)</f>
        <v>522.29999999999995</v>
      </c>
      <c r="F55" s="16">
        <f t="shared" ref="F55:H55" si="7">ROUND(SUM(F49:F54),2)</f>
        <v>522.29999999999995</v>
      </c>
      <c r="G55" s="16">
        <f t="shared" si="7"/>
        <v>522.29999999999995</v>
      </c>
      <c r="H55" s="16">
        <f t="shared" si="7"/>
        <v>522.29999999999995</v>
      </c>
    </row>
    <row r="56" spans="2:8" s="19" customFormat="1" ht="33" customHeight="1" x14ac:dyDescent="0.2">
      <c r="B56" s="45"/>
      <c r="C56" s="45"/>
      <c r="D56" s="45"/>
      <c r="E56" s="56"/>
    </row>
    <row r="57" spans="2:8" ht="18.75" customHeight="1" x14ac:dyDescent="0.2">
      <c r="B57" s="93" t="s">
        <v>36</v>
      </c>
      <c r="C57" s="93"/>
      <c r="D57" s="93"/>
      <c r="E57" s="93"/>
      <c r="F57" s="93"/>
      <c r="G57" s="93"/>
      <c r="H57" s="93"/>
    </row>
    <row r="58" spans="2:8" ht="18.75" customHeight="1" x14ac:dyDescent="0.2">
      <c r="B58" s="93">
        <v>2</v>
      </c>
      <c r="C58" s="132" t="s">
        <v>37</v>
      </c>
      <c r="D58" s="132"/>
      <c r="E58" s="114" t="s">
        <v>68</v>
      </c>
      <c r="F58" s="114"/>
      <c r="G58" s="114" t="s">
        <v>90</v>
      </c>
      <c r="H58" s="114"/>
    </row>
    <row r="59" spans="2:8" ht="20.25" customHeight="1" x14ac:dyDescent="0.2">
      <c r="B59" s="93"/>
      <c r="C59" s="132"/>
      <c r="D59" s="132"/>
      <c r="E59" s="58" t="s">
        <v>88</v>
      </c>
      <c r="F59" s="46" t="s">
        <v>89</v>
      </c>
      <c r="G59" s="58" t="s">
        <v>88</v>
      </c>
      <c r="H59" s="46" t="s">
        <v>89</v>
      </c>
    </row>
    <row r="60" spans="2:8" ht="20.25" customHeight="1" x14ac:dyDescent="0.2">
      <c r="B60" s="48" t="s">
        <v>31</v>
      </c>
      <c r="C60" s="113" t="s">
        <v>32</v>
      </c>
      <c r="D60" s="113"/>
      <c r="E60" s="65">
        <f>E33</f>
        <v>393.97</v>
      </c>
      <c r="F60" s="65">
        <f t="shared" ref="F60:H60" si="8">F33</f>
        <v>481.56</v>
      </c>
      <c r="G60" s="40">
        <f t="shared" si="8"/>
        <v>393.97</v>
      </c>
      <c r="H60" s="40">
        <f t="shared" si="8"/>
        <v>481.56</v>
      </c>
    </row>
    <row r="61" spans="2:8" ht="20.25" customHeight="1" x14ac:dyDescent="0.2">
      <c r="B61" s="26" t="s">
        <v>34</v>
      </c>
      <c r="C61" s="91" t="s">
        <v>38</v>
      </c>
      <c r="D61" s="91">
        <v>1.4999999999999999E-2</v>
      </c>
      <c r="E61" s="40">
        <f>E45</f>
        <v>817.99</v>
      </c>
      <c r="F61" s="40">
        <f t="shared" ref="F61:H61" si="9">F45</f>
        <v>999.85</v>
      </c>
      <c r="G61" s="63">
        <f t="shared" si="9"/>
        <v>817.99</v>
      </c>
      <c r="H61" s="40">
        <f t="shared" si="9"/>
        <v>999.85</v>
      </c>
    </row>
    <row r="62" spans="2:8" ht="20.25" customHeight="1" x14ac:dyDescent="0.2">
      <c r="B62" s="26" t="s">
        <v>35</v>
      </c>
      <c r="C62" s="91" t="s">
        <v>39</v>
      </c>
      <c r="D62" s="91">
        <v>0.01</v>
      </c>
      <c r="E62" s="40">
        <f>E55</f>
        <v>522.29999999999995</v>
      </c>
      <c r="F62" s="40">
        <f t="shared" ref="F62:H62" si="10">F55</f>
        <v>522.29999999999995</v>
      </c>
      <c r="G62" s="63">
        <f t="shared" si="10"/>
        <v>522.29999999999995</v>
      </c>
      <c r="H62" s="40">
        <f t="shared" si="10"/>
        <v>522.29999999999995</v>
      </c>
    </row>
    <row r="63" spans="2:8" ht="18.75" customHeight="1" x14ac:dyDescent="0.2">
      <c r="B63" s="93" t="s">
        <v>0</v>
      </c>
      <c r="C63" s="93"/>
      <c r="D63" s="93"/>
      <c r="E63" s="16">
        <f>SUM(E60:E62)</f>
        <v>1734.26</v>
      </c>
      <c r="F63" s="16">
        <f t="shared" ref="F63:H63" si="11">SUM(F60:F62)</f>
        <v>2003.71</v>
      </c>
      <c r="G63" s="64">
        <f t="shared" si="11"/>
        <v>1734.26</v>
      </c>
      <c r="H63" s="16">
        <f t="shared" si="11"/>
        <v>2003.71</v>
      </c>
    </row>
    <row r="64" spans="2:8" ht="30" customHeight="1" thickBot="1" x14ac:dyDescent="0.25">
      <c r="B64" s="45"/>
      <c r="C64" s="45"/>
      <c r="D64" s="45"/>
      <c r="E64" s="56"/>
      <c r="F64" s="56"/>
      <c r="G64" s="56"/>
      <c r="H64" s="56"/>
    </row>
    <row r="65" spans="2:11" ht="18.75" customHeight="1" thickBot="1" x14ac:dyDescent="0.25">
      <c r="B65" s="95" t="s">
        <v>40</v>
      </c>
      <c r="C65" s="96"/>
      <c r="D65" s="96"/>
      <c r="E65" s="96"/>
      <c r="F65" s="96"/>
      <c r="G65" s="96"/>
      <c r="H65" s="97"/>
    </row>
    <row r="66" spans="2:11" ht="18.75" customHeight="1" x14ac:dyDescent="0.2">
      <c r="B66" s="99">
        <v>3</v>
      </c>
      <c r="C66" s="99" t="s">
        <v>15</v>
      </c>
      <c r="D66" s="99" t="s">
        <v>10</v>
      </c>
      <c r="E66" s="98" t="s">
        <v>68</v>
      </c>
      <c r="F66" s="98"/>
      <c r="G66" s="98" t="s">
        <v>90</v>
      </c>
      <c r="H66" s="98"/>
    </row>
    <row r="67" spans="2:11" ht="19.5" customHeight="1" x14ac:dyDescent="0.2">
      <c r="B67" s="93"/>
      <c r="C67" s="93"/>
      <c r="D67" s="93"/>
      <c r="E67" s="58" t="s">
        <v>88</v>
      </c>
      <c r="F67" s="46" t="s">
        <v>89</v>
      </c>
      <c r="G67" s="58" t="s">
        <v>88</v>
      </c>
      <c r="H67" s="46" t="s">
        <v>89</v>
      </c>
    </row>
    <row r="68" spans="2:11" ht="28.5" x14ac:dyDescent="0.2">
      <c r="B68" s="26" t="s">
        <v>3</v>
      </c>
      <c r="C68" s="6" t="s">
        <v>73</v>
      </c>
      <c r="D68" s="1">
        <f>1/12*5%</f>
        <v>4.1666666666666666E-3</v>
      </c>
      <c r="E68" s="40">
        <f>ROUND($D$68*(E26),2)</f>
        <v>8.44</v>
      </c>
      <c r="F68" s="40">
        <f t="shared" ref="F68:H68" si="12">ROUND($D$68*(F26),2)</f>
        <v>10.32</v>
      </c>
      <c r="G68" s="40">
        <f t="shared" si="12"/>
        <v>8.44</v>
      </c>
      <c r="H68" s="40">
        <f t="shared" si="12"/>
        <v>10.32</v>
      </c>
      <c r="J68" s="9"/>
    </row>
    <row r="69" spans="2:11" ht="57" customHeight="1" x14ac:dyDescent="0.2">
      <c r="B69" s="26" t="s">
        <v>4</v>
      </c>
      <c r="C69" s="6" t="s">
        <v>139</v>
      </c>
      <c r="D69" s="13">
        <f>D68*D44</f>
        <v>3.3333333333333332E-4</v>
      </c>
      <c r="E69" s="40">
        <f>ROUND($D$69*(E26),2)</f>
        <v>0.68</v>
      </c>
      <c r="F69" s="40">
        <f t="shared" ref="F69:H69" si="13">ROUND($D$69*(F26),2)</f>
        <v>0.83</v>
      </c>
      <c r="G69" s="40">
        <f t="shared" si="13"/>
        <v>0.68</v>
      </c>
      <c r="H69" s="40">
        <f t="shared" si="13"/>
        <v>0.83</v>
      </c>
    </row>
    <row r="70" spans="2:11" ht="114" x14ac:dyDescent="0.2">
      <c r="B70" s="26" t="s">
        <v>5</v>
      </c>
      <c r="C70" s="6" t="s">
        <v>141</v>
      </c>
      <c r="D70" s="13">
        <f>(1+2/12+(1/3*1/12))*0.08*0.4*0.9</f>
        <v>3.4400000000000007E-2</v>
      </c>
      <c r="E70" s="40">
        <f>ROUND($D$70*(E26),2)</f>
        <v>69.7</v>
      </c>
      <c r="F70" s="40">
        <f t="shared" ref="F70:H70" si="14">ROUND($D$70*(F26),2)</f>
        <v>85.19</v>
      </c>
      <c r="G70" s="40">
        <f t="shared" si="14"/>
        <v>69.7</v>
      </c>
      <c r="H70" s="40">
        <f t="shared" si="14"/>
        <v>85.19</v>
      </c>
    </row>
    <row r="71" spans="2:11" ht="57" x14ac:dyDescent="0.2">
      <c r="B71" s="26" t="s">
        <v>6</v>
      </c>
      <c r="C71" s="6" t="s">
        <v>105</v>
      </c>
      <c r="D71" s="14">
        <f>(7/30)/12</f>
        <v>1.9444444444444445E-2</v>
      </c>
      <c r="E71" s="40">
        <f>ROUND($D$71*(E26),2)</f>
        <v>39.4</v>
      </c>
      <c r="F71" s="40">
        <f t="shared" ref="F71:H71" si="15">ROUND($D$71*(F26),2)</f>
        <v>48.16</v>
      </c>
      <c r="G71" s="40">
        <f t="shared" si="15"/>
        <v>39.4</v>
      </c>
      <c r="H71" s="40">
        <f t="shared" si="15"/>
        <v>48.16</v>
      </c>
    </row>
    <row r="72" spans="2:11" ht="42.75" x14ac:dyDescent="0.2">
      <c r="B72" s="26" t="s">
        <v>7</v>
      </c>
      <c r="C72" s="6" t="s">
        <v>106</v>
      </c>
      <c r="D72" s="25">
        <f>D71*D45</f>
        <v>6.5722222222222224E-3</v>
      </c>
      <c r="E72" s="40">
        <f>ROUND($D$72*(E26),2)</f>
        <v>13.32</v>
      </c>
      <c r="F72" s="40">
        <f t="shared" ref="F72:H72" si="16">ROUND($D$72*(F26),2)</f>
        <v>16.28</v>
      </c>
      <c r="G72" s="40">
        <f t="shared" si="16"/>
        <v>13.32</v>
      </c>
      <c r="H72" s="40">
        <f t="shared" si="16"/>
        <v>16.28</v>
      </c>
    </row>
    <row r="73" spans="2:11" ht="85.5" x14ac:dyDescent="0.2">
      <c r="B73" s="26" t="s">
        <v>8</v>
      </c>
      <c r="C73" s="6" t="s">
        <v>107</v>
      </c>
      <c r="D73" s="14">
        <f>D71*8%*40%*100%</f>
        <v>6.2222222222222236E-4</v>
      </c>
      <c r="E73" s="40">
        <f>ROUND($D$73*(E26),2)</f>
        <v>1.26</v>
      </c>
      <c r="F73" s="40">
        <f t="shared" ref="F73:H73" si="17">ROUND($D$73*(F26),2)</f>
        <v>1.54</v>
      </c>
      <c r="G73" s="40">
        <f t="shared" si="17"/>
        <v>1.26</v>
      </c>
      <c r="H73" s="40">
        <f t="shared" si="17"/>
        <v>1.54</v>
      </c>
    </row>
    <row r="74" spans="2:11" ht="18.75" customHeight="1" x14ac:dyDescent="0.2">
      <c r="B74" s="93" t="s">
        <v>0</v>
      </c>
      <c r="C74" s="93"/>
      <c r="D74" s="93"/>
      <c r="E74" s="16">
        <f>SUM(E68:E73)</f>
        <v>132.79999999999998</v>
      </c>
      <c r="F74" s="16">
        <f>SUM(F68:F73)</f>
        <v>162.32</v>
      </c>
      <c r="G74" s="16">
        <f t="shared" ref="G74:H74" si="18">SUM(G68:G73)</f>
        <v>132.79999999999998</v>
      </c>
      <c r="H74" s="16">
        <f t="shared" si="18"/>
        <v>162.32</v>
      </c>
    </row>
    <row r="75" spans="2:11" s="19" customFormat="1" ht="33.75" customHeight="1" thickBot="1" x14ac:dyDescent="0.25">
      <c r="B75" s="45"/>
      <c r="C75" s="45"/>
      <c r="D75" s="45"/>
      <c r="E75" s="56"/>
    </row>
    <row r="76" spans="2:11" ht="18.75" customHeight="1" thickBot="1" x14ac:dyDescent="0.25">
      <c r="B76" s="107" t="s">
        <v>41</v>
      </c>
      <c r="C76" s="108"/>
      <c r="D76" s="108"/>
      <c r="E76" s="108"/>
      <c r="F76" s="108"/>
      <c r="G76" s="108"/>
      <c r="H76" s="109"/>
    </row>
    <row r="77" spans="2:11" ht="18.75" customHeight="1" x14ac:dyDescent="0.2">
      <c r="B77" s="99" t="s">
        <v>13</v>
      </c>
      <c r="C77" s="99" t="s">
        <v>108</v>
      </c>
      <c r="D77" s="99" t="s">
        <v>10</v>
      </c>
      <c r="E77" s="98" t="s">
        <v>68</v>
      </c>
      <c r="F77" s="98"/>
      <c r="G77" s="98" t="s">
        <v>90</v>
      </c>
      <c r="H77" s="98"/>
    </row>
    <row r="78" spans="2:11" ht="19.5" customHeight="1" x14ac:dyDescent="0.2">
      <c r="B78" s="93"/>
      <c r="C78" s="93"/>
      <c r="D78" s="93"/>
      <c r="E78" s="58" t="s">
        <v>88</v>
      </c>
      <c r="F78" s="46" t="s">
        <v>89</v>
      </c>
      <c r="G78" s="58" t="s">
        <v>88</v>
      </c>
      <c r="H78" s="46" t="s">
        <v>89</v>
      </c>
    </row>
    <row r="79" spans="2:11" ht="28.5" x14ac:dyDescent="0.2">
      <c r="B79" s="26" t="s">
        <v>3</v>
      </c>
      <c r="C79" s="6" t="s">
        <v>109</v>
      </c>
      <c r="D79" s="1">
        <v>0</v>
      </c>
      <c r="E79" s="40">
        <f>ROUND($D$79*(E26+E74+E63),2)</f>
        <v>0</v>
      </c>
      <c r="F79" s="40">
        <f>ROUND($D$79*(F26+F74+F63),2)</f>
        <v>0</v>
      </c>
      <c r="G79" s="40">
        <f>ROUND($D$79*(G26+G74+G63),2)</f>
        <v>0</v>
      </c>
      <c r="H79" s="40">
        <f>ROUND($D$79*(H26+H74+H63),2)</f>
        <v>0</v>
      </c>
      <c r="K79" s="9"/>
    </row>
    <row r="80" spans="2:11" ht="57" x14ac:dyDescent="0.2">
      <c r="B80" s="26" t="s">
        <v>4</v>
      </c>
      <c r="C80" s="6" t="s">
        <v>110</v>
      </c>
      <c r="D80" s="1">
        <f>1/30/12</f>
        <v>2.7777777777777779E-3</v>
      </c>
      <c r="E80" s="40">
        <f>ROUND($D$80*(E26+E74+E63),2)</f>
        <v>10.81</v>
      </c>
      <c r="F80" s="40">
        <f>ROUND($D$80*(F26+F74+F63),2)</f>
        <v>12.9</v>
      </c>
      <c r="G80" s="40">
        <f>ROUND($D$80*(G26+G74+G63),2)</f>
        <v>10.81</v>
      </c>
      <c r="H80" s="40">
        <f>ROUND($D$80*(H26+H74+H63),2)</f>
        <v>12.9</v>
      </c>
    </row>
    <row r="81" spans="1:14" ht="71.25" x14ac:dyDescent="0.2">
      <c r="B81" s="26" t="s">
        <v>5</v>
      </c>
      <c r="C81" s="6" t="s">
        <v>140</v>
      </c>
      <c r="D81" s="1">
        <f>((5/30)/12)*0.015</f>
        <v>2.0833333333333332E-4</v>
      </c>
      <c r="E81" s="40">
        <f>ROUND($D$81*(E26+E74+E63),2)</f>
        <v>0.81</v>
      </c>
      <c r="F81" s="40">
        <f>ROUND($D$81*(F26+F74+F63),2)</f>
        <v>0.97</v>
      </c>
      <c r="G81" s="40">
        <f>ROUND($D$81*(G26+G74+G63),2)</f>
        <v>0.81</v>
      </c>
      <c r="H81" s="40">
        <f>ROUND($D$81*(H26+H74+H63),2)</f>
        <v>0.97</v>
      </c>
      <c r="N81" s="2">
        <f>189673/427381</f>
        <v>0.4438030703283487</v>
      </c>
    </row>
    <row r="82" spans="1:14" ht="71.25" x14ac:dyDescent="0.2">
      <c r="B82" s="26" t="s">
        <v>6</v>
      </c>
      <c r="C82" s="6" t="s">
        <v>111</v>
      </c>
      <c r="D82" s="1">
        <f>(1/12)*0.0178</f>
        <v>1.4833333333333332E-3</v>
      </c>
      <c r="E82" s="40">
        <f>ROUND($D$82*(E26+E74+E63),2)</f>
        <v>5.77</v>
      </c>
      <c r="F82" s="40">
        <f>ROUND($D$82*(F26+F74+F63),2)</f>
        <v>6.89</v>
      </c>
      <c r="G82" s="40">
        <f>ROUND($D$82*(G26+G74+G63),2)</f>
        <v>5.77</v>
      </c>
      <c r="H82" s="40">
        <f>ROUND($D$82*(H26+H74+H63),2)</f>
        <v>6.89</v>
      </c>
    </row>
    <row r="83" spans="1:14" ht="128.25" x14ac:dyDescent="0.2">
      <c r="B83" s="26" t="s">
        <v>7</v>
      </c>
      <c r="C83" s="6" t="s">
        <v>142</v>
      </c>
      <c r="D83" s="1">
        <f>(1/12+((1/3)*(1/12)))*0.44*0.2*(4/12)</f>
        <v>3.2592592592592591E-3</v>
      </c>
      <c r="E83" s="40">
        <f>ROUND($D$83*(E26+E74+E63),2)</f>
        <v>12.69</v>
      </c>
      <c r="F83" s="40">
        <f>ROUND($D$83*(F26+F74+F63),2)</f>
        <v>15.13</v>
      </c>
      <c r="G83" s="40">
        <f>ROUND($D$83*(G26+G74+G63),2)</f>
        <v>12.69</v>
      </c>
      <c r="H83" s="40">
        <f>ROUND($D$83*(H26+H74+H63),2)</f>
        <v>15.13</v>
      </c>
    </row>
    <row r="84" spans="1:14" ht="42.75" x14ac:dyDescent="0.2">
      <c r="B84" s="26" t="s">
        <v>8</v>
      </c>
      <c r="C84" s="6" t="s">
        <v>143</v>
      </c>
      <c r="D84" s="1">
        <f>5/30/12*100%</f>
        <v>1.3888888888888888E-2</v>
      </c>
      <c r="E84" s="40">
        <f>ROUND($D$84*(E26+E74+E63),2)</f>
        <v>54.07</v>
      </c>
      <c r="F84" s="40">
        <f>ROUND($D$84*(F26+F74+F63),2)</f>
        <v>64.48</v>
      </c>
      <c r="G84" s="40">
        <f>ROUND($D$84*(G26+G74+G63),2)</f>
        <v>54.07</v>
      </c>
      <c r="H84" s="40">
        <f>ROUND($D$84*(H26+H74+H63),2)</f>
        <v>64.48</v>
      </c>
    </row>
    <row r="85" spans="1:14" ht="24.75" customHeight="1" x14ac:dyDescent="0.2">
      <c r="B85" s="93" t="s">
        <v>0</v>
      </c>
      <c r="C85" s="93"/>
      <c r="D85" s="15">
        <f>SUM(D79:D84)</f>
        <v>2.1617592592592591E-2</v>
      </c>
      <c r="E85" s="16">
        <f>SUM(E79:E84)</f>
        <v>84.15</v>
      </c>
      <c r="F85" s="16">
        <f t="shared" ref="F85:H85" si="19">SUM(F79:F84)</f>
        <v>100.37</v>
      </c>
      <c r="G85" s="16">
        <f t="shared" si="19"/>
        <v>84.15</v>
      </c>
      <c r="H85" s="16">
        <f t="shared" si="19"/>
        <v>100.37</v>
      </c>
    </row>
    <row r="86" spans="1:14" ht="24.75" customHeight="1" x14ac:dyDescent="0.2">
      <c r="A86" s="19"/>
      <c r="B86" s="45"/>
      <c r="C86" s="45"/>
      <c r="D86" s="66"/>
      <c r="E86" s="56"/>
      <c r="F86" s="56"/>
      <c r="G86" s="56"/>
      <c r="H86" s="56"/>
    </row>
    <row r="87" spans="1:14" ht="16.5" customHeight="1" x14ac:dyDescent="0.2">
      <c r="A87" s="19"/>
      <c r="B87" s="93" t="s">
        <v>14</v>
      </c>
      <c r="C87" s="132" t="s">
        <v>112</v>
      </c>
      <c r="D87" s="132"/>
      <c r="E87" s="114" t="s">
        <v>68</v>
      </c>
      <c r="F87" s="114"/>
      <c r="G87" s="114" t="s">
        <v>90</v>
      </c>
      <c r="H87" s="114"/>
    </row>
    <row r="88" spans="1:14" ht="16.5" customHeight="1" x14ac:dyDescent="0.2">
      <c r="B88" s="93"/>
      <c r="C88" s="132"/>
      <c r="D88" s="132"/>
      <c r="E88" s="58" t="s">
        <v>88</v>
      </c>
      <c r="F88" s="46" t="s">
        <v>89</v>
      </c>
      <c r="G88" s="58" t="s">
        <v>88</v>
      </c>
      <c r="H88" s="46" t="s">
        <v>89</v>
      </c>
    </row>
    <row r="89" spans="1:14" ht="22.5" customHeight="1" x14ac:dyDescent="0.2">
      <c r="B89" s="26" t="s">
        <v>3</v>
      </c>
      <c r="C89" s="94" t="s">
        <v>113</v>
      </c>
      <c r="D89" s="94"/>
      <c r="E89" s="67">
        <v>207.15</v>
      </c>
      <c r="F89" s="67">
        <v>229.65</v>
      </c>
      <c r="G89" s="67">
        <v>207.15</v>
      </c>
      <c r="H89" s="67">
        <v>229.65</v>
      </c>
    </row>
    <row r="90" spans="1:14" ht="24.75" customHeight="1" x14ac:dyDescent="0.2">
      <c r="B90" s="93" t="s">
        <v>0</v>
      </c>
      <c r="C90" s="93"/>
      <c r="D90" s="93"/>
      <c r="E90" s="16">
        <f>E89</f>
        <v>207.15</v>
      </c>
      <c r="F90" s="16">
        <f t="shared" ref="F90:H90" si="20">F89</f>
        <v>229.65</v>
      </c>
      <c r="G90" s="16">
        <f t="shared" si="20"/>
        <v>207.15</v>
      </c>
      <c r="H90" s="16">
        <f t="shared" si="20"/>
        <v>229.65</v>
      </c>
    </row>
    <row r="91" spans="1:14" ht="24.75" customHeight="1" thickBot="1" x14ac:dyDescent="0.25">
      <c r="B91" s="45"/>
      <c r="C91" s="45"/>
      <c r="D91" s="45"/>
      <c r="E91" s="56"/>
      <c r="F91" s="19"/>
      <c r="G91" s="19"/>
      <c r="H91" s="19"/>
    </row>
    <row r="92" spans="1:14" ht="24.75" customHeight="1" thickBot="1" x14ac:dyDescent="0.25">
      <c r="B92" s="95" t="s">
        <v>44</v>
      </c>
      <c r="C92" s="96"/>
      <c r="D92" s="96"/>
      <c r="E92" s="96"/>
      <c r="F92" s="96"/>
      <c r="G92" s="96"/>
      <c r="H92" s="97"/>
    </row>
    <row r="93" spans="1:14" ht="16.5" customHeight="1" x14ac:dyDescent="0.2">
      <c r="B93" s="99">
        <v>4</v>
      </c>
      <c r="C93" s="99" t="s">
        <v>45</v>
      </c>
      <c r="D93" s="99"/>
      <c r="E93" s="98" t="s">
        <v>68</v>
      </c>
      <c r="F93" s="98"/>
      <c r="G93" s="98" t="s">
        <v>90</v>
      </c>
      <c r="H93" s="98"/>
    </row>
    <row r="94" spans="1:14" ht="16.5" customHeight="1" x14ac:dyDescent="0.2">
      <c r="B94" s="93"/>
      <c r="C94" s="93"/>
      <c r="D94" s="93"/>
      <c r="E94" s="58" t="s">
        <v>88</v>
      </c>
      <c r="F94" s="46" t="s">
        <v>89</v>
      </c>
      <c r="G94" s="58" t="s">
        <v>88</v>
      </c>
      <c r="H94" s="46" t="s">
        <v>89</v>
      </c>
    </row>
    <row r="95" spans="1:14" ht="23.25" customHeight="1" x14ac:dyDescent="0.2">
      <c r="B95" s="26" t="s">
        <v>13</v>
      </c>
      <c r="C95" s="91" t="s">
        <v>42</v>
      </c>
      <c r="D95" s="91"/>
      <c r="E95" s="40">
        <f>E85</f>
        <v>84.15</v>
      </c>
      <c r="F95" s="40">
        <f t="shared" ref="F95:H95" si="21">F85</f>
        <v>100.37</v>
      </c>
      <c r="G95" s="40">
        <f t="shared" si="21"/>
        <v>84.15</v>
      </c>
      <c r="H95" s="40">
        <f t="shared" si="21"/>
        <v>100.37</v>
      </c>
    </row>
    <row r="96" spans="1:14" ht="23.25" customHeight="1" x14ac:dyDescent="0.2">
      <c r="B96" s="26" t="s">
        <v>14</v>
      </c>
      <c r="C96" s="91" t="s">
        <v>43</v>
      </c>
      <c r="D96" s="91">
        <v>1.4999999999999999E-2</v>
      </c>
      <c r="E96" s="40">
        <f>E90</f>
        <v>207.15</v>
      </c>
      <c r="F96" s="40">
        <f t="shared" ref="F96:H96" si="22">F90</f>
        <v>229.65</v>
      </c>
      <c r="G96" s="40">
        <f t="shared" si="22"/>
        <v>207.15</v>
      </c>
      <c r="H96" s="40">
        <f t="shared" si="22"/>
        <v>229.65</v>
      </c>
    </row>
    <row r="97" spans="2:8" ht="23.25" customHeight="1" x14ac:dyDescent="0.2">
      <c r="B97" s="93" t="s">
        <v>0</v>
      </c>
      <c r="C97" s="93"/>
      <c r="D97" s="93"/>
      <c r="E97" s="16">
        <f>SUM(E95:E96)</f>
        <v>291.3</v>
      </c>
      <c r="F97" s="16">
        <f t="shared" ref="F97:H97" si="23">SUM(F95:F96)</f>
        <v>330.02</v>
      </c>
      <c r="G97" s="16">
        <f t="shared" si="23"/>
        <v>291.3</v>
      </c>
      <c r="H97" s="16">
        <f t="shared" si="23"/>
        <v>330.02</v>
      </c>
    </row>
    <row r="98" spans="2:8" s="19" customFormat="1" ht="23.25" customHeight="1" thickBot="1" x14ac:dyDescent="0.25">
      <c r="B98" s="45"/>
      <c r="C98" s="45"/>
      <c r="D98" s="45"/>
      <c r="E98" s="56"/>
    </row>
    <row r="99" spans="2:8" ht="21" customHeight="1" thickBot="1" x14ac:dyDescent="0.25">
      <c r="B99" s="107" t="s">
        <v>46</v>
      </c>
      <c r="C99" s="108"/>
      <c r="D99" s="108"/>
      <c r="E99" s="108"/>
      <c r="F99" s="108"/>
      <c r="G99" s="108"/>
      <c r="H99" s="109"/>
    </row>
    <row r="100" spans="2:8" ht="21" customHeight="1" x14ac:dyDescent="0.2">
      <c r="B100" s="99">
        <v>5</v>
      </c>
      <c r="C100" s="131" t="s">
        <v>29</v>
      </c>
      <c r="D100" s="131"/>
      <c r="E100" s="98" t="s">
        <v>68</v>
      </c>
      <c r="F100" s="98"/>
      <c r="G100" s="98" t="s">
        <v>90</v>
      </c>
      <c r="H100" s="98"/>
    </row>
    <row r="101" spans="2:8" ht="21" customHeight="1" x14ac:dyDescent="0.2">
      <c r="B101" s="93"/>
      <c r="C101" s="132"/>
      <c r="D101" s="132"/>
      <c r="E101" s="58" t="s">
        <v>88</v>
      </c>
      <c r="F101" s="46" t="s">
        <v>89</v>
      </c>
      <c r="G101" s="58" t="s">
        <v>88</v>
      </c>
      <c r="H101" s="46" t="s">
        <v>89</v>
      </c>
    </row>
    <row r="102" spans="2:8" ht="23.25" customHeight="1" x14ac:dyDescent="0.2">
      <c r="B102" s="26" t="s">
        <v>3</v>
      </c>
      <c r="C102" s="91" t="s">
        <v>66</v>
      </c>
      <c r="D102" s="91"/>
      <c r="E102" s="40">
        <f>'UNIFORME E EQUIPAMENTOS'!F10</f>
        <v>0</v>
      </c>
      <c r="F102" s="40">
        <f>'UNIFORME E EQUIPAMENTOS'!F10</f>
        <v>0</v>
      </c>
      <c r="G102" s="40">
        <f>'UNIFORME E EQUIPAMENTOS'!F10</f>
        <v>0</v>
      </c>
      <c r="H102" s="40">
        <f>'UNIFORME E EQUIPAMENTOS'!F10</f>
        <v>0</v>
      </c>
    </row>
    <row r="103" spans="2:8" ht="23.25" customHeight="1" x14ac:dyDescent="0.2">
      <c r="B103" s="26" t="s">
        <v>4</v>
      </c>
      <c r="C103" s="91" t="s">
        <v>114</v>
      </c>
      <c r="D103" s="91"/>
      <c r="E103" s="40">
        <f>'UNIFORME E EQUIPAMENTOS'!F25</f>
        <v>0</v>
      </c>
      <c r="F103" s="40">
        <f>'UNIFORME E EQUIPAMENTOS'!F25</f>
        <v>0</v>
      </c>
      <c r="G103" s="40">
        <f>'UNIFORME E EQUIPAMENTOS'!F25</f>
        <v>0</v>
      </c>
      <c r="H103" s="40">
        <f>'UNIFORME E EQUIPAMENTOS'!F25</f>
        <v>0</v>
      </c>
    </row>
    <row r="104" spans="2:8" ht="21" customHeight="1" x14ac:dyDescent="0.2">
      <c r="B104" s="93" t="s">
        <v>0</v>
      </c>
      <c r="C104" s="93"/>
      <c r="D104" s="93"/>
      <c r="E104" s="16">
        <f>ROUND(SUM(E102:E103),2)</f>
        <v>0</v>
      </c>
      <c r="F104" s="16">
        <f t="shared" ref="F104:H104" si="24">ROUND(SUM(F102:F103),2)</f>
        <v>0</v>
      </c>
      <c r="G104" s="16">
        <f t="shared" si="24"/>
        <v>0</v>
      </c>
      <c r="H104" s="16">
        <f t="shared" si="24"/>
        <v>0</v>
      </c>
    </row>
    <row r="105" spans="2:8" s="19" customFormat="1" ht="21" customHeight="1" thickBot="1" x14ac:dyDescent="0.25">
      <c r="B105" s="45"/>
      <c r="C105" s="45"/>
      <c r="D105" s="45"/>
      <c r="E105" s="56"/>
    </row>
    <row r="106" spans="2:8" ht="21" customHeight="1" thickBot="1" x14ac:dyDescent="0.25">
      <c r="B106" s="95" t="s">
        <v>47</v>
      </c>
      <c r="C106" s="96"/>
      <c r="D106" s="96"/>
      <c r="E106" s="96"/>
      <c r="F106" s="96"/>
      <c r="G106" s="96"/>
      <c r="H106" s="97"/>
    </row>
    <row r="107" spans="2:8" ht="21" customHeight="1" x14ac:dyDescent="0.2">
      <c r="B107" s="99">
        <v>6</v>
      </c>
      <c r="C107" s="131" t="s">
        <v>16</v>
      </c>
      <c r="D107" s="99" t="s">
        <v>10</v>
      </c>
      <c r="E107" s="98" t="s">
        <v>68</v>
      </c>
      <c r="F107" s="98"/>
      <c r="G107" s="98" t="s">
        <v>90</v>
      </c>
      <c r="H107" s="98"/>
    </row>
    <row r="108" spans="2:8" ht="23.25" customHeight="1" x14ac:dyDescent="0.2">
      <c r="B108" s="93"/>
      <c r="C108" s="132"/>
      <c r="D108" s="93"/>
      <c r="E108" s="58" t="s">
        <v>88</v>
      </c>
      <c r="F108" s="46" t="s">
        <v>89</v>
      </c>
      <c r="G108" s="58" t="s">
        <v>88</v>
      </c>
      <c r="H108" s="46" t="s">
        <v>89</v>
      </c>
    </row>
    <row r="109" spans="2:8" ht="21" customHeight="1" x14ac:dyDescent="0.2">
      <c r="B109" s="26" t="s">
        <v>3</v>
      </c>
      <c r="C109" s="5" t="s">
        <v>20</v>
      </c>
      <c r="D109" s="24"/>
      <c r="E109" s="40">
        <f>ROUND($D$109*(E26+E63+E74+E97+E104),2)</f>
        <v>0</v>
      </c>
      <c r="F109" s="40">
        <f t="shared" ref="F109:H109" si="25">ROUND($D$109*(F26+F63+F74+F97+F104),2)</f>
        <v>0</v>
      </c>
      <c r="G109" s="40">
        <f t="shared" si="25"/>
        <v>0</v>
      </c>
      <c r="H109" s="40">
        <f t="shared" si="25"/>
        <v>0</v>
      </c>
    </row>
    <row r="110" spans="2:8" ht="21" customHeight="1" x14ac:dyDescent="0.2">
      <c r="B110" s="26" t="s">
        <v>4</v>
      </c>
      <c r="C110" s="5" t="s">
        <v>17</v>
      </c>
      <c r="D110" s="24"/>
      <c r="E110" s="40">
        <f>ROUND($D$110*(E26+E63+E74+E97+E104+E109),2)</f>
        <v>0</v>
      </c>
      <c r="F110" s="40">
        <f t="shared" ref="F110:H110" si="26">ROUND($D$110*(F26+F63+F74+F97+F104+F109),2)</f>
        <v>0</v>
      </c>
      <c r="G110" s="40">
        <f t="shared" si="26"/>
        <v>0</v>
      </c>
      <c r="H110" s="40">
        <f t="shared" si="26"/>
        <v>0</v>
      </c>
    </row>
    <row r="111" spans="2:8" ht="29.25" customHeight="1" x14ac:dyDescent="0.2">
      <c r="B111" s="26" t="s">
        <v>5</v>
      </c>
      <c r="C111" s="61" t="s">
        <v>144</v>
      </c>
      <c r="D111" s="13">
        <f>D112+D113+D114</f>
        <v>8.6499999999999994E-2</v>
      </c>
      <c r="E111" s="40">
        <f>ROUND((E26+E63+E74+E97+E104+E109+E110)/(1-$D$111),2)</f>
        <v>4580.72</v>
      </c>
      <c r="F111" s="40">
        <f t="shared" ref="F111:H111" si="27">ROUND((F26+F63+F74+F97+F104+F109+F110)/(1-$D$111),2)</f>
        <v>5443.49</v>
      </c>
      <c r="G111" s="40">
        <f t="shared" si="27"/>
        <v>4580.72</v>
      </c>
      <c r="H111" s="40">
        <f t="shared" si="27"/>
        <v>5443.49</v>
      </c>
    </row>
    <row r="112" spans="2:8" ht="21" customHeight="1" x14ac:dyDescent="0.2">
      <c r="B112" s="92"/>
      <c r="C112" s="5" t="s">
        <v>52</v>
      </c>
      <c r="D112" s="1">
        <v>0.03</v>
      </c>
      <c r="E112" s="40">
        <f>ROUND($D$112*(E111),2)</f>
        <v>137.41999999999999</v>
      </c>
      <c r="F112" s="40">
        <f t="shared" ref="F112:H112" si="28">ROUND($D$112*(F111),2)</f>
        <v>163.30000000000001</v>
      </c>
      <c r="G112" s="40">
        <f t="shared" si="28"/>
        <v>137.41999999999999</v>
      </c>
      <c r="H112" s="40">
        <f t="shared" si="28"/>
        <v>163.30000000000001</v>
      </c>
    </row>
    <row r="113" spans="1:12" ht="21" customHeight="1" x14ac:dyDescent="0.2">
      <c r="B113" s="92"/>
      <c r="C113" s="5" t="s">
        <v>53</v>
      </c>
      <c r="D113" s="1">
        <v>6.4999999999999997E-3</v>
      </c>
      <c r="E113" s="40">
        <f>ROUND($D$113*(E111),2)</f>
        <v>29.77</v>
      </c>
      <c r="F113" s="40">
        <f t="shared" ref="F113:H113" si="29">ROUND($D$113*(F111),2)</f>
        <v>35.380000000000003</v>
      </c>
      <c r="G113" s="40">
        <f t="shared" si="29"/>
        <v>29.77</v>
      </c>
      <c r="H113" s="40">
        <f t="shared" si="29"/>
        <v>35.380000000000003</v>
      </c>
    </row>
    <row r="114" spans="1:12" ht="21" customHeight="1" x14ac:dyDescent="0.2">
      <c r="B114" s="92"/>
      <c r="C114" s="54" t="s">
        <v>54</v>
      </c>
      <c r="D114" s="1">
        <v>0.05</v>
      </c>
      <c r="E114" s="40">
        <f>ROUND($D$114*(E111),2)</f>
        <v>229.04</v>
      </c>
      <c r="F114" s="40">
        <f t="shared" ref="F114:H114" si="30">ROUND($D$114*(F111),2)</f>
        <v>272.17</v>
      </c>
      <c r="G114" s="40">
        <f t="shared" si="30"/>
        <v>229.04</v>
      </c>
      <c r="H114" s="40">
        <f t="shared" si="30"/>
        <v>272.17</v>
      </c>
    </row>
    <row r="115" spans="1:12" ht="21" customHeight="1" x14ac:dyDescent="0.2">
      <c r="B115" s="93" t="s">
        <v>0</v>
      </c>
      <c r="C115" s="93"/>
      <c r="D115" s="10">
        <f>D109+D110+D112+D113+D114</f>
        <v>8.6499999999999994E-2</v>
      </c>
      <c r="E115" s="16">
        <f>E109+E110+E112+E113+E114</f>
        <v>396.23</v>
      </c>
      <c r="F115" s="16">
        <f t="shared" ref="F115:H115" si="31">F109+F110+F112+F113+F114</f>
        <v>470.85</v>
      </c>
      <c r="G115" s="16">
        <f t="shared" si="31"/>
        <v>396.23</v>
      </c>
      <c r="H115" s="16">
        <f t="shared" si="31"/>
        <v>470.85</v>
      </c>
    </row>
    <row r="116" spans="1:12" s="19" customFormat="1" ht="21" customHeight="1" thickBot="1" x14ac:dyDescent="0.25">
      <c r="B116" s="45"/>
      <c r="C116" s="45"/>
      <c r="D116" s="57"/>
      <c r="E116" s="56"/>
    </row>
    <row r="117" spans="1:12" ht="21" customHeight="1" thickBot="1" x14ac:dyDescent="0.25">
      <c r="B117" s="107" t="s">
        <v>18</v>
      </c>
      <c r="C117" s="108"/>
      <c r="D117" s="108"/>
      <c r="E117" s="108"/>
      <c r="F117" s="108"/>
      <c r="G117" s="108"/>
      <c r="H117" s="109"/>
    </row>
    <row r="118" spans="1:12" ht="21" customHeight="1" x14ac:dyDescent="0.2">
      <c r="B118" s="133" t="s">
        <v>19</v>
      </c>
      <c r="C118" s="134"/>
      <c r="D118" s="135"/>
      <c r="E118" s="98" t="s">
        <v>68</v>
      </c>
      <c r="F118" s="98"/>
      <c r="G118" s="98" t="s">
        <v>90</v>
      </c>
      <c r="H118" s="98"/>
    </row>
    <row r="119" spans="1:12" ht="24" customHeight="1" x14ac:dyDescent="0.2">
      <c r="B119" s="110"/>
      <c r="C119" s="111"/>
      <c r="D119" s="112"/>
      <c r="E119" s="58" t="s">
        <v>88</v>
      </c>
      <c r="F119" s="46" t="s">
        <v>89</v>
      </c>
      <c r="G119" s="58" t="s">
        <v>88</v>
      </c>
      <c r="H119" s="46" t="s">
        <v>89</v>
      </c>
    </row>
    <row r="120" spans="1:12" ht="21" customHeight="1" x14ac:dyDescent="0.2">
      <c r="B120" s="26" t="s">
        <v>3</v>
      </c>
      <c r="C120" s="91" t="str">
        <f>B20</f>
        <v>MÓDULO 1 - COMPOSIÇÃO DA REMUNERAÇÃO</v>
      </c>
      <c r="D120" s="91"/>
      <c r="E120" s="40">
        <f>E26</f>
        <v>2026.1279999999999</v>
      </c>
      <c r="F120" s="40">
        <f t="shared" ref="F120:H120" si="32">F26</f>
        <v>2476.578</v>
      </c>
      <c r="G120" s="40">
        <f t="shared" si="32"/>
        <v>2026.1279999999999</v>
      </c>
      <c r="H120" s="40">
        <f t="shared" si="32"/>
        <v>2476.578</v>
      </c>
    </row>
    <row r="121" spans="1:12" ht="21" customHeight="1" x14ac:dyDescent="0.2">
      <c r="B121" s="26" t="s">
        <v>4</v>
      </c>
      <c r="C121" s="91" t="str">
        <f>B28</f>
        <v>MÓDULO 2 - ENCARGOS E BENEFÍCIOS ANUAIS, MENSAIS E DIÁRIOS</v>
      </c>
      <c r="D121" s="91"/>
      <c r="E121" s="40">
        <f>E63</f>
        <v>1734.26</v>
      </c>
      <c r="F121" s="40">
        <f t="shared" ref="F121:H121" si="33">F63</f>
        <v>2003.71</v>
      </c>
      <c r="G121" s="40">
        <f t="shared" si="33"/>
        <v>1734.26</v>
      </c>
      <c r="H121" s="40">
        <f t="shared" si="33"/>
        <v>2003.71</v>
      </c>
    </row>
    <row r="122" spans="1:12" ht="21" customHeight="1" x14ac:dyDescent="0.2">
      <c r="B122" s="26" t="s">
        <v>5</v>
      </c>
      <c r="C122" s="91" t="str">
        <f>B65</f>
        <v>MÓDULO 3 - PROVISÃO PARA RESCISÃO</v>
      </c>
      <c r="D122" s="91"/>
      <c r="E122" s="40">
        <f>E74</f>
        <v>132.79999999999998</v>
      </c>
      <c r="F122" s="40">
        <f t="shared" ref="F122:H122" si="34">F74</f>
        <v>162.32</v>
      </c>
      <c r="G122" s="40">
        <f t="shared" si="34"/>
        <v>132.79999999999998</v>
      </c>
      <c r="H122" s="40">
        <f t="shared" si="34"/>
        <v>162.32</v>
      </c>
    </row>
    <row r="123" spans="1:12" ht="21" customHeight="1" x14ac:dyDescent="0.2">
      <c r="B123" s="26" t="s">
        <v>6</v>
      </c>
      <c r="C123" s="91" t="str">
        <f>B76</f>
        <v>MÓDULO 4 - CUSTO DE REPOSIÇÃO DO PROFISSIONAL AUSENTE</v>
      </c>
      <c r="D123" s="91"/>
      <c r="E123" s="40">
        <f>E97</f>
        <v>291.3</v>
      </c>
      <c r="F123" s="40">
        <f t="shared" ref="F123:H123" si="35">F97</f>
        <v>330.02</v>
      </c>
      <c r="G123" s="40">
        <f t="shared" si="35"/>
        <v>291.3</v>
      </c>
      <c r="H123" s="40">
        <f t="shared" si="35"/>
        <v>330.02</v>
      </c>
    </row>
    <row r="124" spans="1:12" ht="21" customHeight="1" x14ac:dyDescent="0.2">
      <c r="B124" s="26" t="s">
        <v>7</v>
      </c>
      <c r="C124" s="91" t="str">
        <f>B99</f>
        <v>MÓDULO 5 - INSUMOS DIVERSOS</v>
      </c>
      <c r="D124" s="91"/>
      <c r="E124" s="40">
        <f>E104</f>
        <v>0</v>
      </c>
      <c r="F124" s="40">
        <f t="shared" ref="F124:H124" si="36">F104</f>
        <v>0</v>
      </c>
      <c r="G124" s="40">
        <f t="shared" si="36"/>
        <v>0</v>
      </c>
      <c r="H124" s="40">
        <f t="shared" si="36"/>
        <v>0</v>
      </c>
    </row>
    <row r="125" spans="1:12" ht="21" customHeight="1" x14ac:dyDescent="0.2">
      <c r="B125" s="92" t="s">
        <v>48</v>
      </c>
      <c r="C125" s="92"/>
      <c r="D125" s="92"/>
      <c r="E125" s="40">
        <f>SUM(E120:E124)</f>
        <v>4184.4880000000003</v>
      </c>
      <c r="F125" s="40">
        <f t="shared" ref="F125:H125" si="37">SUM(F120:F124)</f>
        <v>4972.6280000000006</v>
      </c>
      <c r="G125" s="40">
        <f t="shared" si="37"/>
        <v>4184.4880000000003</v>
      </c>
      <c r="H125" s="40">
        <f t="shared" si="37"/>
        <v>4972.6280000000006</v>
      </c>
    </row>
    <row r="126" spans="1:12" ht="21" customHeight="1" x14ac:dyDescent="0.2">
      <c r="B126" s="26" t="s">
        <v>8</v>
      </c>
      <c r="C126" s="91" t="str">
        <f>B106</f>
        <v>MÓDULO 6 - CUSTOS INDIRETOS, TRIBUTOS E LUCRO</v>
      </c>
      <c r="D126" s="91"/>
      <c r="E126" s="40">
        <f>E115</f>
        <v>396.23</v>
      </c>
      <c r="F126" s="40">
        <f t="shared" ref="F126:H126" si="38">F115</f>
        <v>470.85</v>
      </c>
      <c r="G126" s="40">
        <f t="shared" si="38"/>
        <v>396.23</v>
      </c>
      <c r="H126" s="40">
        <f t="shared" si="38"/>
        <v>470.85</v>
      </c>
    </row>
    <row r="127" spans="1:12" ht="21" customHeight="1" x14ac:dyDescent="0.2">
      <c r="B127" s="93" t="s">
        <v>55</v>
      </c>
      <c r="C127" s="93"/>
      <c r="D127" s="93"/>
      <c r="E127" s="16">
        <f>SUM(E125:E126)</f>
        <v>4580.7180000000008</v>
      </c>
      <c r="F127" s="16">
        <f t="shared" ref="F127:H127" si="39">SUM(F125:F126)</f>
        <v>5443.478000000001</v>
      </c>
      <c r="G127" s="16">
        <f t="shared" si="39"/>
        <v>4580.7180000000008</v>
      </c>
      <c r="H127" s="16">
        <f t="shared" si="39"/>
        <v>5443.478000000001</v>
      </c>
    </row>
    <row r="128" spans="1:12" ht="20.25" customHeight="1" thickBot="1" x14ac:dyDescent="0.3">
      <c r="A128" s="19"/>
      <c r="B128" s="84"/>
      <c r="C128" s="3"/>
      <c r="D128" s="35"/>
      <c r="E128" s="17"/>
      <c r="G128" s="3"/>
      <c r="H128" s="21"/>
      <c r="I128" s="21"/>
      <c r="J128" s="21"/>
      <c r="K128" s="21"/>
      <c r="L128" s="21"/>
    </row>
    <row r="129" spans="2:12" ht="26.25" customHeight="1" thickBot="1" x14ac:dyDescent="0.25">
      <c r="B129" s="95" t="s">
        <v>138</v>
      </c>
      <c r="C129" s="96"/>
      <c r="D129" s="136"/>
      <c r="E129" s="85">
        <f>E127*2</f>
        <v>9161.4360000000015</v>
      </c>
      <c r="F129" s="86">
        <f t="shared" ref="F129:H129" si="40">F127*2</f>
        <v>10886.956000000002</v>
      </c>
      <c r="G129" s="85">
        <f t="shared" si="40"/>
        <v>9161.4360000000015</v>
      </c>
      <c r="H129" s="87">
        <f t="shared" si="40"/>
        <v>10886.956000000002</v>
      </c>
      <c r="I129" s="21"/>
      <c r="J129" s="21"/>
      <c r="K129" s="21"/>
      <c r="L129" s="21"/>
    </row>
    <row r="130" spans="2:12" ht="15" x14ac:dyDescent="0.2">
      <c r="E130" s="12"/>
      <c r="H130" s="21"/>
      <c r="I130" s="21"/>
      <c r="J130" s="21"/>
      <c r="K130" s="21"/>
      <c r="L130" s="21"/>
    </row>
    <row r="131" spans="2:12" ht="15" x14ac:dyDescent="0.2">
      <c r="B131" s="18"/>
      <c r="C131" s="18"/>
      <c r="D131" s="18"/>
      <c r="G131" s="21"/>
      <c r="H131" s="21"/>
      <c r="I131" s="21"/>
      <c r="J131" s="21"/>
      <c r="K131" s="21"/>
      <c r="L131" s="21"/>
    </row>
    <row r="132" spans="2:12" ht="15" x14ac:dyDescent="0.2">
      <c r="B132" s="18"/>
      <c r="C132" s="18"/>
      <c r="D132" s="18"/>
      <c r="G132" s="21"/>
      <c r="H132" s="21"/>
      <c r="I132" s="21"/>
      <c r="J132" s="21"/>
      <c r="K132" s="21"/>
      <c r="L132" s="21"/>
    </row>
    <row r="133" spans="2:12" ht="15" x14ac:dyDescent="0.2">
      <c r="B133" s="18"/>
      <c r="C133" s="18"/>
      <c r="D133" s="18"/>
      <c r="G133" s="21"/>
      <c r="H133" s="21"/>
      <c r="I133" s="21"/>
      <c r="J133" s="21"/>
      <c r="K133" s="21"/>
      <c r="L133" s="21"/>
    </row>
    <row r="134" spans="2:12" ht="15" x14ac:dyDescent="0.2">
      <c r="B134" s="18"/>
      <c r="C134" s="18"/>
      <c r="D134" s="18"/>
      <c r="G134" s="21"/>
      <c r="H134" s="21"/>
      <c r="I134" s="21"/>
      <c r="J134" s="21"/>
      <c r="K134" s="21"/>
      <c r="L134" s="21"/>
    </row>
    <row r="135" spans="2:12" ht="15" x14ac:dyDescent="0.2">
      <c r="B135" s="18"/>
      <c r="C135" s="18"/>
      <c r="D135" s="18"/>
      <c r="G135" s="21"/>
      <c r="H135" s="21"/>
      <c r="I135" s="21"/>
      <c r="J135" s="21"/>
      <c r="K135" s="21"/>
      <c r="L135" s="21"/>
    </row>
    <row r="137" spans="2:12" x14ac:dyDescent="0.2">
      <c r="E137" s="12"/>
    </row>
    <row r="138" spans="2:12" x14ac:dyDescent="0.2">
      <c r="E138" s="12"/>
    </row>
    <row r="140" spans="2:12" x14ac:dyDescent="0.2">
      <c r="E140" s="9"/>
    </row>
    <row r="144" spans="2:12" ht="15" x14ac:dyDescent="0.25">
      <c r="D144" s="35"/>
    </row>
    <row r="145" spans="4:4" ht="15" x14ac:dyDescent="0.25">
      <c r="D145" s="35"/>
    </row>
    <row r="146" spans="4:4" ht="15" x14ac:dyDescent="0.25">
      <c r="D146" s="35"/>
    </row>
    <row r="147" spans="4:4" ht="15" x14ac:dyDescent="0.25">
      <c r="D147" s="35"/>
    </row>
    <row r="148" spans="4:4" ht="15" x14ac:dyDescent="0.25">
      <c r="D148" s="35"/>
    </row>
  </sheetData>
  <mergeCells count="114">
    <mergeCell ref="G118:H118"/>
    <mergeCell ref="B117:H117"/>
    <mergeCell ref="B118:D119"/>
    <mergeCell ref="B129:D129"/>
    <mergeCell ref="G100:H100"/>
    <mergeCell ref="B106:H106"/>
    <mergeCell ref="E107:F107"/>
    <mergeCell ref="G107:H107"/>
    <mergeCell ref="D107:D108"/>
    <mergeCell ref="C107:C108"/>
    <mergeCell ref="B107:B108"/>
    <mergeCell ref="C120:D120"/>
    <mergeCell ref="C102:D102"/>
    <mergeCell ref="C103:D103"/>
    <mergeCell ref="B104:D104"/>
    <mergeCell ref="B112:B114"/>
    <mergeCell ref="B115:C115"/>
    <mergeCell ref="C100:D101"/>
    <mergeCell ref="B100:B101"/>
    <mergeCell ref="E100:F100"/>
    <mergeCell ref="E118:F118"/>
    <mergeCell ref="B127:D127"/>
    <mergeCell ref="C121:D121"/>
    <mergeCell ref="C122:D122"/>
    <mergeCell ref="E93:F93"/>
    <mergeCell ref="G93:H93"/>
    <mergeCell ref="C93:D94"/>
    <mergeCell ref="B93:B94"/>
    <mergeCell ref="B99:H99"/>
    <mergeCell ref="E87:F87"/>
    <mergeCell ref="G87:H87"/>
    <mergeCell ref="B87:B88"/>
    <mergeCell ref="C87:D88"/>
    <mergeCell ref="B92:H92"/>
    <mergeCell ref="B97:D97"/>
    <mergeCell ref="C66:C67"/>
    <mergeCell ref="B66:B67"/>
    <mergeCell ref="B76:H76"/>
    <mergeCell ref="E77:F77"/>
    <mergeCell ref="G77:H77"/>
    <mergeCell ref="D77:D78"/>
    <mergeCell ref="C77:C78"/>
    <mergeCell ref="B77:B78"/>
    <mergeCell ref="D47:D48"/>
    <mergeCell ref="C47:C48"/>
    <mergeCell ref="B47:B48"/>
    <mergeCell ref="B57:H57"/>
    <mergeCell ref="E58:F58"/>
    <mergeCell ref="G58:H58"/>
    <mergeCell ref="B58:B59"/>
    <mergeCell ref="C58:D59"/>
    <mergeCell ref="B74:D74"/>
    <mergeCell ref="G35:H35"/>
    <mergeCell ref="D35:D36"/>
    <mergeCell ref="C35:C36"/>
    <mergeCell ref="B35:B36"/>
    <mergeCell ref="E29:F29"/>
    <mergeCell ref="G29:H29"/>
    <mergeCell ref="B29:B30"/>
    <mergeCell ref="C29:C30"/>
    <mergeCell ref="D29:D30"/>
    <mergeCell ref="G18:H18"/>
    <mergeCell ref="C14:F14"/>
    <mergeCell ref="C15:F15"/>
    <mergeCell ref="C16:F16"/>
    <mergeCell ref="C17:F17"/>
    <mergeCell ref="C18:F18"/>
    <mergeCell ref="G20:H20"/>
    <mergeCell ref="B6:H6"/>
    <mergeCell ref="G7:H7"/>
    <mergeCell ref="G8:H8"/>
    <mergeCell ref="G9:H9"/>
    <mergeCell ref="G10:H10"/>
    <mergeCell ref="C7:F7"/>
    <mergeCell ref="C8:F8"/>
    <mergeCell ref="C9:F9"/>
    <mergeCell ref="C10:F10"/>
    <mergeCell ref="G14:H14"/>
    <mergeCell ref="G15:H15"/>
    <mergeCell ref="G16:H16"/>
    <mergeCell ref="G17:H17"/>
    <mergeCell ref="B65:H65"/>
    <mergeCell ref="E66:F66"/>
    <mergeCell ref="G66:H66"/>
    <mergeCell ref="D66:D67"/>
    <mergeCell ref="B2:H2"/>
    <mergeCell ref="B3:H3"/>
    <mergeCell ref="B4:H4"/>
    <mergeCell ref="C22:D22"/>
    <mergeCell ref="C21:D21"/>
    <mergeCell ref="E20:F20"/>
    <mergeCell ref="B12:H12"/>
    <mergeCell ref="B13:H13"/>
    <mergeCell ref="B63:D63"/>
    <mergeCell ref="B26:D26"/>
    <mergeCell ref="B33:C33"/>
    <mergeCell ref="B45:C45"/>
    <mergeCell ref="B55:D55"/>
    <mergeCell ref="C60:D60"/>
    <mergeCell ref="C61:D61"/>
    <mergeCell ref="C62:D62"/>
    <mergeCell ref="E35:F35"/>
    <mergeCell ref="B28:H28"/>
    <mergeCell ref="E47:F47"/>
    <mergeCell ref="G47:H47"/>
    <mergeCell ref="C123:D123"/>
    <mergeCell ref="C124:D124"/>
    <mergeCell ref="B125:D125"/>
    <mergeCell ref="C126:D126"/>
    <mergeCell ref="B85:C85"/>
    <mergeCell ref="C89:D89"/>
    <mergeCell ref="B90:D90"/>
    <mergeCell ref="C95:D95"/>
    <mergeCell ref="C96:D96"/>
  </mergeCells>
  <pageMargins left="0.511811024" right="0.511811024" top="0.78740157499999996" bottom="0.78740157499999996" header="0.31496062000000002" footer="0.31496062000000002"/>
  <pageSetup paperSize="9" scale="60" orientation="portrait" horizontalDpi="300" verticalDpi="300" r:id="rId1"/>
  <rowBreaks count="1" manualBreakCount="1">
    <brk id="91" min="1" max="7" man="1"/>
  </rowBreaks>
  <ignoredErrors>
    <ignoredError sqref="E8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998A1-43F5-449B-B5D1-4271ED033C95}">
  <dimension ref="B1:F25"/>
  <sheetViews>
    <sheetView zoomScaleNormal="100" workbookViewId="0">
      <selection activeCell="E7" sqref="E7"/>
    </sheetView>
  </sheetViews>
  <sheetFormatPr defaultRowHeight="15.75" x14ac:dyDescent="0.25"/>
  <cols>
    <col min="1" max="1" width="2.85546875" style="71" customWidth="1"/>
    <col min="2" max="2" width="49.5703125" style="71" customWidth="1"/>
    <col min="3" max="3" width="13.5703125" style="71" bestFit="1" customWidth="1"/>
    <col min="4" max="4" width="9.28515625" style="71" bestFit="1" customWidth="1"/>
    <col min="5" max="5" width="13" style="71" customWidth="1"/>
    <col min="6" max="6" width="11.7109375" style="71" bestFit="1" customWidth="1"/>
    <col min="7" max="16384" width="9.140625" style="71"/>
  </cols>
  <sheetData>
    <row r="1" spans="2:6" ht="16.5" thickBot="1" x14ac:dyDescent="0.3">
      <c r="B1" s="70"/>
      <c r="E1" s="72"/>
    </row>
    <row r="2" spans="2:6" ht="16.5" thickBot="1" x14ac:dyDescent="0.3">
      <c r="B2" s="137" t="s">
        <v>115</v>
      </c>
      <c r="C2" s="138"/>
      <c r="D2" s="138"/>
      <c r="E2" s="138"/>
      <c r="F2" s="139"/>
    </row>
    <row r="3" spans="2:6" ht="31.5" x14ac:dyDescent="0.25">
      <c r="B3" s="68" t="s">
        <v>77</v>
      </c>
      <c r="C3" s="69" t="s">
        <v>122</v>
      </c>
      <c r="D3" s="69" t="s">
        <v>116</v>
      </c>
      <c r="E3" s="69" t="s">
        <v>117</v>
      </c>
      <c r="F3" s="69" t="s">
        <v>118</v>
      </c>
    </row>
    <row r="4" spans="2:6" ht="31.5" x14ac:dyDescent="0.25">
      <c r="B4" s="73" t="s">
        <v>135</v>
      </c>
      <c r="C4" s="145"/>
      <c r="D4" s="75">
        <v>12</v>
      </c>
      <c r="E4" s="76">
        <v>2</v>
      </c>
      <c r="F4" s="74">
        <f>(C4/D4)*E4</f>
        <v>0</v>
      </c>
    </row>
    <row r="5" spans="2:6" ht="31.5" x14ac:dyDescent="0.25">
      <c r="B5" s="73" t="s">
        <v>136</v>
      </c>
      <c r="C5" s="145"/>
      <c r="D5" s="75">
        <v>12</v>
      </c>
      <c r="E5" s="76">
        <v>2</v>
      </c>
      <c r="F5" s="74">
        <f t="shared" ref="F5:F9" si="0">(C5/D5)*E5</f>
        <v>0</v>
      </c>
    </row>
    <row r="6" spans="2:6" ht="16.5" customHeight="1" x14ac:dyDescent="0.25">
      <c r="B6" s="73" t="s">
        <v>134</v>
      </c>
      <c r="C6" s="145"/>
      <c r="D6" s="75">
        <v>12</v>
      </c>
      <c r="E6" s="76">
        <v>1</v>
      </c>
      <c r="F6" s="74">
        <f t="shared" si="0"/>
        <v>0</v>
      </c>
    </row>
    <row r="7" spans="2:6" x14ac:dyDescent="0.25">
      <c r="B7" s="73" t="s">
        <v>137</v>
      </c>
      <c r="C7" s="145"/>
      <c r="D7" s="75">
        <v>12</v>
      </c>
      <c r="E7" s="76">
        <v>3</v>
      </c>
      <c r="F7" s="74">
        <f t="shared" si="0"/>
        <v>0</v>
      </c>
    </row>
    <row r="8" spans="2:6" x14ac:dyDescent="0.25">
      <c r="B8" s="73" t="s">
        <v>119</v>
      </c>
      <c r="C8" s="145"/>
      <c r="D8" s="75">
        <v>12</v>
      </c>
      <c r="E8" s="76">
        <v>1</v>
      </c>
      <c r="F8" s="74">
        <f t="shared" si="0"/>
        <v>0</v>
      </c>
    </row>
    <row r="9" spans="2:6" ht="16.5" thickBot="1" x14ac:dyDescent="0.3">
      <c r="B9" s="79" t="s">
        <v>120</v>
      </c>
      <c r="C9" s="146"/>
      <c r="D9" s="81">
        <v>12</v>
      </c>
      <c r="E9" s="82">
        <v>1</v>
      </c>
      <c r="F9" s="80">
        <f t="shared" si="0"/>
        <v>0</v>
      </c>
    </row>
    <row r="10" spans="2:6" ht="16.5" thickBot="1" x14ac:dyDescent="0.3">
      <c r="B10" s="140" t="s">
        <v>0</v>
      </c>
      <c r="C10" s="141"/>
      <c r="D10" s="141"/>
      <c r="E10" s="141"/>
      <c r="F10" s="83">
        <f>SUM(F4:F9)</f>
        <v>0</v>
      </c>
    </row>
    <row r="11" spans="2:6" x14ac:dyDescent="0.25">
      <c r="E11" s="72"/>
    </row>
    <row r="12" spans="2:6" ht="16.5" thickBot="1" x14ac:dyDescent="0.3">
      <c r="B12" s="70"/>
      <c r="E12" s="72"/>
    </row>
    <row r="13" spans="2:6" ht="16.5" thickBot="1" x14ac:dyDescent="0.3">
      <c r="B13" s="142" t="s">
        <v>121</v>
      </c>
      <c r="C13" s="143"/>
      <c r="D13" s="143"/>
      <c r="E13" s="143"/>
      <c r="F13" s="144"/>
    </row>
    <row r="14" spans="2:6" ht="31.5" x14ac:dyDescent="0.25">
      <c r="B14" s="68" t="s">
        <v>77</v>
      </c>
      <c r="C14" s="69" t="s">
        <v>122</v>
      </c>
      <c r="D14" s="69" t="s">
        <v>116</v>
      </c>
      <c r="E14" s="69" t="s">
        <v>123</v>
      </c>
      <c r="F14" s="69" t="s">
        <v>118</v>
      </c>
    </row>
    <row r="15" spans="2:6" ht="31.5" x14ac:dyDescent="0.25">
      <c r="B15" s="73" t="s">
        <v>125</v>
      </c>
      <c r="C15" s="145"/>
      <c r="D15" s="75">
        <v>30</v>
      </c>
      <c r="E15" s="76">
        <v>1</v>
      </c>
      <c r="F15" s="74">
        <f>(C15/D15)*E15</f>
        <v>0</v>
      </c>
    </row>
    <row r="16" spans="2:6" x14ac:dyDescent="0.25">
      <c r="B16" s="73" t="s">
        <v>132</v>
      </c>
      <c r="C16" s="145"/>
      <c r="D16" s="75">
        <v>60</v>
      </c>
      <c r="E16" s="76">
        <v>1</v>
      </c>
      <c r="F16" s="74">
        <f t="shared" ref="F16:F24" si="1">(C16/D16)*E16</f>
        <v>0</v>
      </c>
    </row>
    <row r="17" spans="2:6" x14ac:dyDescent="0.25">
      <c r="B17" s="73" t="s">
        <v>128</v>
      </c>
      <c r="C17" s="145"/>
      <c r="D17" s="75">
        <v>60</v>
      </c>
      <c r="E17" s="76">
        <v>1</v>
      </c>
      <c r="F17" s="74">
        <f t="shared" si="1"/>
        <v>0</v>
      </c>
    </row>
    <row r="18" spans="2:6" x14ac:dyDescent="0.25">
      <c r="B18" s="73" t="s">
        <v>127</v>
      </c>
      <c r="C18" s="145"/>
      <c r="D18" s="75">
        <v>12</v>
      </c>
      <c r="E18" s="76">
        <v>1</v>
      </c>
      <c r="F18" s="74">
        <f t="shared" si="1"/>
        <v>0</v>
      </c>
    </row>
    <row r="19" spans="2:6" ht="31.5" x14ac:dyDescent="0.25">
      <c r="B19" s="73" t="s">
        <v>131</v>
      </c>
      <c r="C19" s="145"/>
      <c r="D19" s="75">
        <v>60</v>
      </c>
      <c r="E19" s="76">
        <v>1</v>
      </c>
      <c r="F19" s="74">
        <f t="shared" si="1"/>
        <v>0</v>
      </c>
    </row>
    <row r="20" spans="2:6" x14ac:dyDescent="0.25">
      <c r="B20" s="73" t="s">
        <v>126</v>
      </c>
      <c r="C20" s="145"/>
      <c r="D20" s="75">
        <v>12</v>
      </c>
      <c r="E20" s="76">
        <v>1</v>
      </c>
      <c r="F20" s="74">
        <f t="shared" si="1"/>
        <v>0</v>
      </c>
    </row>
    <row r="21" spans="2:6" x14ac:dyDescent="0.25">
      <c r="B21" s="73" t="s">
        <v>129</v>
      </c>
      <c r="C21" s="145"/>
      <c r="D21" s="75">
        <v>60</v>
      </c>
      <c r="E21" s="76">
        <v>1</v>
      </c>
      <c r="F21" s="74">
        <f t="shared" si="1"/>
        <v>0</v>
      </c>
    </row>
    <row r="22" spans="2:6" x14ac:dyDescent="0.25">
      <c r="B22" s="73" t="s">
        <v>133</v>
      </c>
      <c r="C22" s="145"/>
      <c r="D22" s="75">
        <v>30</v>
      </c>
      <c r="E22" s="76">
        <v>1</v>
      </c>
      <c r="F22" s="74">
        <f t="shared" si="1"/>
        <v>0</v>
      </c>
    </row>
    <row r="23" spans="2:6" x14ac:dyDescent="0.25">
      <c r="B23" s="73" t="s">
        <v>124</v>
      </c>
      <c r="C23" s="145"/>
      <c r="D23" s="75">
        <v>12</v>
      </c>
      <c r="E23" s="76">
        <v>12</v>
      </c>
      <c r="F23" s="74">
        <f t="shared" si="1"/>
        <v>0</v>
      </c>
    </row>
    <row r="24" spans="2:6" ht="16.5" thickBot="1" x14ac:dyDescent="0.3">
      <c r="B24" s="79" t="s">
        <v>130</v>
      </c>
      <c r="C24" s="146"/>
      <c r="D24" s="81">
        <v>60</v>
      </c>
      <c r="E24" s="82">
        <v>1</v>
      </c>
      <c r="F24" s="80">
        <f t="shared" si="1"/>
        <v>0</v>
      </c>
    </row>
    <row r="25" spans="2:6" ht="16.5" thickBot="1" x14ac:dyDescent="0.3">
      <c r="B25" s="140" t="s">
        <v>0</v>
      </c>
      <c r="C25" s="141"/>
      <c r="D25" s="141"/>
      <c r="E25" s="141"/>
      <c r="F25" s="83">
        <f>SUM(F15:F24)</f>
        <v>0</v>
      </c>
    </row>
  </sheetData>
  <mergeCells count="4">
    <mergeCell ref="B2:F2"/>
    <mergeCell ref="B10:E10"/>
    <mergeCell ref="B13:F13"/>
    <mergeCell ref="B25:E2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PROPOSTA</vt:lpstr>
      <vt:lpstr>VIGILANTE</vt:lpstr>
      <vt:lpstr>UNIFORME E EQUIPAMENTOS</vt:lpstr>
      <vt:lpstr>VIGILANTE!Area_de_impressao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Deus proverá</dc:creator>
  <cp:lastModifiedBy>Renan Furtado Lima</cp:lastModifiedBy>
  <cp:lastPrinted>2022-08-17T11:15:10Z</cp:lastPrinted>
  <dcterms:created xsi:type="dcterms:W3CDTF">2016-12-15T21:33:06Z</dcterms:created>
  <dcterms:modified xsi:type="dcterms:W3CDTF">2022-08-17T18:06:56Z</dcterms:modified>
</cp:coreProperties>
</file>